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536\Desktop\タスク計画\処遇改善加算HP\様式\"/>
    </mc:Choice>
  </mc:AlternateContent>
  <bookViews>
    <workbookView xWindow="28680" yWindow="-120" windowWidth="29040" windowHeight="15840" activeTab="3"/>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57" i="38" l="1"/>
  <c r="BA48" i="46" l="1"/>
  <c r="BA48" i="45"/>
  <c r="BA48" i="44"/>
  <c r="BA48" i="43"/>
  <c r="BA48" i="42"/>
  <c r="BA48" i="39"/>
  <c r="BA48" i="12"/>
  <c r="BA48" i="40"/>
  <c r="G49" i="40"/>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49" i="39"/>
  <c r="L50" i="39" s="1"/>
  <c r="G49" i="39"/>
  <c r="AW48"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BA48" i="41" s="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49" i="41"/>
  <c r="L50" i="41" s="1"/>
  <c r="AW48" i="41"/>
  <c r="AS48" i="41"/>
  <c r="BE48" i="41" s="1"/>
  <c r="AC49" i="41" s="1"/>
  <c r="AC50" i="41" s="1"/>
  <c r="AW59" i="41"/>
  <c r="CI10" i="41"/>
  <c r="AS63" i="41"/>
  <c r="AS44" i="41" s="1"/>
  <c r="CI6" i="41"/>
  <c r="AS61" i="41"/>
  <c r="AS36" i="41" s="1"/>
  <c r="AS59" i="41"/>
  <c r="CI7" i="41"/>
  <c r="CI9" i="41"/>
  <c r="AS62" i="41"/>
  <c r="AS40" i="41" s="1"/>
  <c r="CI3" i="41"/>
  <c r="Q50" i="41"/>
  <c r="BV51" i="41"/>
  <c r="AW60" i="41"/>
  <c r="AS60" i="41"/>
  <c r="G49"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BA48" i="38" s="1"/>
  <c r="G50" i="41"/>
  <c r="CI4" i="41"/>
  <c r="CI5" i="41"/>
  <c r="Q51" i="41"/>
  <c r="Q52" i="41" s="1"/>
  <c r="BA51" i="41"/>
  <c r="AS24" i="41"/>
  <c r="AC51" i="41"/>
  <c r="AC52" i="41" s="1"/>
  <c r="BE51" i="41"/>
  <c r="Q49" i="38"/>
  <c r="L49" i="38" l="1"/>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49" i="12"/>
  <c r="L50" i="12" s="1"/>
  <c r="AW51" i="12" s="1"/>
  <c r="CI7" i="12"/>
  <c r="S143" i="18" s="1"/>
  <c r="AK225" i="18" s="1"/>
  <c r="AW48" i="12"/>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AK223" i="18" s="1"/>
  <c r="CI4" i="12"/>
  <c r="AS24" i="12"/>
  <c r="BE48" i="12"/>
  <c r="AC49" i="12" s="1"/>
  <c r="Q51" i="12"/>
  <c r="Q52" i="12" s="1"/>
  <c r="L51" i="12"/>
  <c r="AI95" i="18" l="1"/>
  <c r="AI93" i="18"/>
  <c r="AM129" i="18"/>
  <c r="AK134" i="18" s="1"/>
  <c r="AK224" i="18" s="1"/>
  <c r="V50" i="12"/>
  <c r="G51" i="12"/>
  <c r="V51" i="12" s="1"/>
  <c r="L52" i="12"/>
  <c r="AC50" i="12"/>
  <c r="BE51" i="12" s="1"/>
  <c r="T106" i="18" l="1"/>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<sst xmlns="http://schemas.openxmlformats.org/spreadsheetml/2006/main" count="6878" uniqueCount="2437">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</sst>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6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8" fillId="3" borderId="1"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77" fillId="2" borderId="142"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38" fontId="89" fillId="2" borderId="11" xfId="1" applyFont="1" applyFill="1" applyBorder="1" applyAlignment="1" applyProtection="1">
      <alignment horizontal="center" vertical="center" shrinkToFit="1"/>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cellStyle name="桁区切り" xfId="1" builtinId="6"/>
    <cellStyle name="桁区切り 2" xfId="3"/>
    <cellStyle name="標準" xfId="0" builtinId="0"/>
    <cellStyle name="標準 2" xfId="2"/>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1"/>
              <a:chExt cx="301792" cy="780047"/>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7"/>
              <a:chExt cx="308371" cy="762885"/>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32"/>
              <a:chExt cx="301792" cy="494794"/>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34"/>
              <a:chExt cx="308371" cy="779256"/>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11" y="8168777"/>
              <a:chExt cx="217571" cy="792442"/>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59" y="8166077"/>
              <a:chExt cx="208607" cy="749767"/>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593"/>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82"/>
              <a:chExt cx="303832" cy="48686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2"/>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2"/>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0"/>
              <a:chExt cx="301792" cy="780074"/>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0"/>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0"/>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3"/>
              <a:chExt cx="308371" cy="762878"/>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3"/>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8"/>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58"/>
              <a:chExt cx="301792" cy="494749"/>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58"/>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3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68"/>
              <a:chExt cx="308371" cy="779243"/>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68"/>
                <a:ext cx="308371" cy="2381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34"/>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502" y="8168725"/>
              <a:chExt cx="217632" cy="792558"/>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64" y="8168725"/>
                <a:ext cx="217070"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2" y="8723157"/>
                <a:ext cx="216066"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8988" y="8166007"/>
              <a:chExt cx="208651" cy="749814"/>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28" y="8166007"/>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8988" y="8640704"/>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46" y="7305251"/>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46" y="7305251"/>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81" y="7775529"/>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62"/>
              <a:chExt cx="303832" cy="486905"/>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62"/>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44"/>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84"/>
              <a:chExt cx="301792" cy="780070"/>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8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6"/>
              <a:chExt cx="308371" cy="762877"/>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0"/>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921"/>
              <a:chExt cx="301792" cy="494757"/>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2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0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2"/>
              <a:chExt cx="308371" cy="779275"/>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2"/>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1"/>
                <a:ext cx="308371" cy="2190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2" y="8168788"/>
              <a:chExt cx="217567"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06" y="816878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2"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58" y="8166035"/>
              <a:chExt cx="208649" cy="749820"/>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498" y="816603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58" y="8640738"/>
                <a:ext cx="186517"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594"/>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59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1"/>
              <a:chExt cx="301792" cy="780047"/>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7"/>
              <a:chExt cx="308371" cy="762885"/>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32"/>
              <a:chExt cx="301792" cy="494794"/>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4"/>
              <a:chExt cx="308371" cy="779256"/>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1" y="8168777"/>
              <a:chExt cx="217571" cy="792442"/>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59" y="8166077"/>
              <a:chExt cx="208607" cy="749767"/>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593"/>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1"/>
              <a:chExt cx="301792" cy="780047"/>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7"/>
              <a:chExt cx="308371" cy="762885"/>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32"/>
              <a:chExt cx="301792" cy="494794"/>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4"/>
              <a:chExt cx="308371" cy="779256"/>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1" y="8168777"/>
              <a:chExt cx="217571" cy="792442"/>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59" y="8166077"/>
              <a:chExt cx="208607" cy="749767"/>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593"/>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1"/>
              <a:chExt cx="301792" cy="780047"/>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7"/>
              <a:chExt cx="308371" cy="762885"/>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32"/>
              <a:chExt cx="301792" cy="494794"/>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4"/>
              <a:chExt cx="308371" cy="779256"/>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1" y="8168777"/>
              <a:chExt cx="217571" cy="792442"/>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59" y="8166077"/>
              <a:chExt cx="208607" cy="749767"/>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593"/>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1"/>
              <a:chExt cx="301792" cy="780047"/>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7"/>
              <a:chExt cx="308371" cy="762885"/>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32"/>
              <a:chExt cx="301792" cy="494794"/>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34"/>
              <a:chExt cx="308371" cy="779256"/>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1" y="8168777"/>
              <a:chExt cx="217571" cy="792442"/>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59" y="8166077"/>
              <a:chExt cx="208607" cy="749767"/>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593"/>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1"/>
              <a:chExt cx="301792" cy="780047"/>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7"/>
              <a:chExt cx="308371" cy="762885"/>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32"/>
              <a:chExt cx="301792" cy="494794"/>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4"/>
              <a:chExt cx="308371" cy="779256"/>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1" y="8168777"/>
              <a:chExt cx="217571" cy="792442"/>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59" y="8166077"/>
              <a:chExt cx="208607" cy="749767"/>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593"/>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1"/>
              <a:chExt cx="301792" cy="780047"/>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7"/>
              <a:chExt cx="308371" cy="762885"/>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32"/>
              <a:chExt cx="301792" cy="494794"/>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4"/>
              <a:chExt cx="308371" cy="779256"/>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1" y="8168777"/>
              <a:chExt cx="217571" cy="792442"/>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59" y="8166077"/>
              <a:chExt cx="208607" cy="749767"/>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593"/>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1"/>
              <a:chExt cx="301792" cy="780047"/>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7"/>
              <a:chExt cx="308371" cy="762885"/>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32"/>
              <a:chExt cx="301792" cy="494794"/>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4"/>
              <a:chExt cx="308371" cy="779256"/>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1" y="8168777"/>
              <a:chExt cx="217571" cy="792442"/>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59" y="8166077"/>
              <a:chExt cx="208607" cy="749767"/>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593"/>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3" Type="http://schemas.openxmlformats.org/officeDocument/2006/relationships/vmlDrawing" Target="../drawings/vmlDrawing10.v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 Type="http://schemas.openxmlformats.org/officeDocument/2006/relationships/drawing" Target="../drawings/drawing10.xml"/><Relationship Id="rId16" Type="http://schemas.openxmlformats.org/officeDocument/2006/relationships/ctrlProp" Target="../ctrlProps/ctrlProp466.xml"/><Relationship Id="rId20" Type="http://schemas.openxmlformats.org/officeDocument/2006/relationships/ctrlProp" Target="../ctrlProps/ctrlProp470.xml"/><Relationship Id="rId29" Type="http://schemas.openxmlformats.org/officeDocument/2006/relationships/ctrlProp" Target="../ctrlProps/ctrlProp479.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3" Type="http://schemas.openxmlformats.org/officeDocument/2006/relationships/vmlDrawing" Target="../drawings/vmlDrawing11.v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 Type="http://schemas.openxmlformats.org/officeDocument/2006/relationships/drawing" Target="../drawings/drawing11.xml"/><Relationship Id="rId16" Type="http://schemas.openxmlformats.org/officeDocument/2006/relationships/ctrlProp" Target="../ctrlProps/ctrlProp515.xml"/><Relationship Id="rId20" Type="http://schemas.openxmlformats.org/officeDocument/2006/relationships/ctrlProp" Target="../ctrlProps/ctrlProp519.xml"/><Relationship Id="rId29" Type="http://schemas.openxmlformats.org/officeDocument/2006/relationships/ctrlProp" Target="../ctrlProps/ctrlProp528.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3" Type="http://schemas.openxmlformats.org/officeDocument/2006/relationships/vmlDrawing" Target="../drawings/vmlDrawing2.v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3" Type="http://schemas.openxmlformats.org/officeDocument/2006/relationships/vmlDrawing" Target="../drawings/vmlDrawing3.v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3.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3" Type="http://schemas.openxmlformats.org/officeDocument/2006/relationships/vmlDrawing" Target="../drawings/vmlDrawing4.v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 Type="http://schemas.openxmlformats.org/officeDocument/2006/relationships/drawing" Target="../drawings/drawing4.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3" Type="http://schemas.openxmlformats.org/officeDocument/2006/relationships/vmlDrawing" Target="../drawings/vmlDrawing5.v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5.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3" Type="http://schemas.openxmlformats.org/officeDocument/2006/relationships/vmlDrawing" Target="../drawings/vmlDrawing6.v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 Type="http://schemas.openxmlformats.org/officeDocument/2006/relationships/drawing" Target="../drawings/drawing6.xml"/><Relationship Id="rId16" Type="http://schemas.openxmlformats.org/officeDocument/2006/relationships/ctrlProp" Target="../ctrlProps/ctrlProp270.xml"/><Relationship Id="rId20" Type="http://schemas.openxmlformats.org/officeDocument/2006/relationships/ctrlProp" Target="../ctrlProps/ctrlProp274.xml"/><Relationship Id="rId29" Type="http://schemas.openxmlformats.org/officeDocument/2006/relationships/ctrlProp" Target="../ctrlProps/ctrlProp283.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3" Type="http://schemas.openxmlformats.org/officeDocument/2006/relationships/vmlDrawing" Target="../drawings/vmlDrawing7.v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3" Type="http://schemas.openxmlformats.org/officeDocument/2006/relationships/vmlDrawing" Target="../drawings/vmlDrawing8.v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 Type="http://schemas.openxmlformats.org/officeDocument/2006/relationships/drawing" Target="../drawings/drawing8.xml"/><Relationship Id="rId16" Type="http://schemas.openxmlformats.org/officeDocument/2006/relationships/ctrlProp" Target="../ctrlProps/ctrlProp368.xml"/><Relationship Id="rId20" Type="http://schemas.openxmlformats.org/officeDocument/2006/relationships/ctrlProp" Target="../ctrlProps/ctrlProp372.xml"/><Relationship Id="rId29" Type="http://schemas.openxmlformats.org/officeDocument/2006/relationships/ctrlProp" Target="../ctrlProps/ctrlProp381.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3" Type="http://schemas.openxmlformats.org/officeDocument/2006/relationships/vmlDrawing" Target="../drawings/vmlDrawing9.v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 Type="http://schemas.openxmlformats.org/officeDocument/2006/relationships/drawing" Target="../drawings/drawing9.xml"/><Relationship Id="rId16" Type="http://schemas.openxmlformats.org/officeDocument/2006/relationships/ctrlProp" Target="../ctrlProps/ctrlProp417.xml"/><Relationship Id="rId20" Type="http://schemas.openxmlformats.org/officeDocument/2006/relationships/ctrlProp" Target="../ctrlProps/ctrlProp421.xml"/><Relationship Id="rId29" Type="http://schemas.openxmlformats.org/officeDocument/2006/relationships/ctrlProp" Target="../ctrlProps/ctrlProp430.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C249"/>
  <sheetViews>
    <sheetView view="pageBreakPreview" topLeftCell="A229"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537" t="s">
        <v>29</v>
      </c>
      <c r="AA1" s="537"/>
      <c r="AB1" s="537"/>
      <c r="AC1" s="537"/>
      <c r="AD1" s="538" t="s">
        <v>2266</v>
      </c>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30</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23</v>
      </c>
      <c r="C6" s="541"/>
      <c r="D6" s="541"/>
      <c r="E6" s="541"/>
      <c r="F6" s="541"/>
      <c r="G6" s="542"/>
      <c r="H6" s="543" t="s">
        <v>2376</v>
      </c>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22</v>
      </c>
      <c r="C7" s="546"/>
      <c r="D7" s="546"/>
      <c r="E7" s="546"/>
      <c r="F7" s="546"/>
      <c r="G7" s="547"/>
      <c r="H7" s="548" t="s">
        <v>2376</v>
      </c>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2166</v>
      </c>
      <c r="C8" s="572"/>
      <c r="D8" s="572"/>
      <c r="E8" s="572"/>
      <c r="F8" s="572"/>
      <c r="G8" s="573"/>
      <c r="H8" s="267" t="s">
        <v>2377</v>
      </c>
      <c r="I8" s="968">
        <v>100</v>
      </c>
      <c r="J8" s="968"/>
      <c r="K8" s="268" t="s">
        <v>2385</v>
      </c>
      <c r="L8" s="968">
        <v>1234</v>
      </c>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t="s">
        <v>2378</v>
      </c>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t="s">
        <v>2379</v>
      </c>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23</v>
      </c>
      <c r="C11" s="579"/>
      <c r="D11" s="579"/>
      <c r="E11" s="579"/>
      <c r="F11" s="579"/>
      <c r="G11" s="580"/>
      <c r="H11" s="543" t="s">
        <v>2380</v>
      </c>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2167</v>
      </c>
      <c r="C12" s="560"/>
      <c r="D12" s="560"/>
      <c r="E12" s="560"/>
      <c r="F12" s="560"/>
      <c r="G12" s="561"/>
      <c r="H12" s="562" t="s">
        <v>2381</v>
      </c>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2168</v>
      </c>
      <c r="C13" s="564"/>
      <c r="D13" s="564"/>
      <c r="E13" s="564"/>
      <c r="F13" s="564"/>
      <c r="G13" s="564"/>
      <c r="H13" s="565" t="s">
        <v>28</v>
      </c>
      <c r="I13" s="564"/>
      <c r="J13" s="564"/>
      <c r="K13" s="564"/>
      <c r="L13" s="566" t="s">
        <v>2382</v>
      </c>
      <c r="M13" s="567"/>
      <c r="N13" s="567"/>
      <c r="O13" s="567"/>
      <c r="P13" s="567"/>
      <c r="Q13" s="567"/>
      <c r="R13" s="567"/>
      <c r="S13" s="567"/>
      <c r="T13" s="567"/>
      <c r="U13" s="568"/>
      <c r="V13" s="569" t="s">
        <v>2383</v>
      </c>
      <c r="W13" s="570"/>
      <c r="X13" s="570"/>
      <c r="Y13" s="565"/>
      <c r="Z13" s="566" t="s">
        <v>2384</v>
      </c>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35</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37</v>
      </c>
      <c r="C18" s="973" t="s">
        <v>38</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12781520</v>
      </c>
      <c r="R18" s="975"/>
      <c r="S18" s="975"/>
      <c r="T18" s="975"/>
      <c r="U18" s="975"/>
      <c r="V18" s="976"/>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85" t="s">
        <v>40</v>
      </c>
      <c r="E19" s="585"/>
      <c r="F19" s="585"/>
      <c r="G19" s="585"/>
      <c r="H19" s="585"/>
      <c r="I19" s="585"/>
      <c r="J19" s="585"/>
      <c r="K19" s="585"/>
      <c r="L19" s="585"/>
      <c r="M19" s="585"/>
      <c r="N19" s="585"/>
      <c r="O19" s="585"/>
      <c r="P19" s="586"/>
      <c r="Q19" s="974">
        <f>SUM('別紙様式6-2 事業所個票１:事業所個票10'!BI51)</f>
        <v>6008224</v>
      </c>
      <c r="R19" s="975"/>
      <c r="S19" s="975"/>
      <c r="T19" s="975"/>
      <c r="U19" s="975"/>
      <c r="V19" s="976"/>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85" t="s">
        <v>42</v>
      </c>
      <c r="F20" s="585"/>
      <c r="G20" s="585"/>
      <c r="H20" s="585"/>
      <c r="I20" s="585"/>
      <c r="J20" s="585"/>
      <c r="K20" s="585"/>
      <c r="L20" s="585"/>
      <c r="M20" s="585"/>
      <c r="N20" s="585"/>
      <c r="O20" s="585"/>
      <c r="P20" s="978"/>
      <c r="Q20" s="592">
        <v>2200000</v>
      </c>
      <c r="R20" s="593"/>
      <c r="S20" s="593"/>
      <c r="T20" s="593"/>
      <c r="U20" s="593"/>
      <c r="V20" s="594"/>
      <c r="W20" s="283" t="s">
        <v>36</v>
      </c>
      <c r="X20" s="172" t="s">
        <v>43</v>
      </c>
      <c r="Y20" s="284" t="str">
        <f>IF(Q20&gt;Q19,"×","")</f>
        <v/>
      </c>
      <c r="Z20" s="256"/>
      <c r="AA20" s="256"/>
      <c r="AB20" s="256"/>
      <c r="AC20" s="256"/>
      <c r="AD20" s="256"/>
      <c r="AE20" s="256"/>
      <c r="AF20" s="256"/>
      <c r="AG20" s="256"/>
      <c r="AH20" s="256"/>
      <c r="AI20" s="256"/>
      <c r="AJ20" s="256"/>
      <c r="AK20" s="256"/>
      <c r="AL20" s="256"/>
      <c r="AM20" s="970" t="s">
        <v>2226</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44</v>
      </c>
      <c r="C21" s="585" t="s">
        <v>2227</v>
      </c>
      <c r="D21" s="973"/>
      <c r="E21" s="973"/>
      <c r="F21" s="973"/>
      <c r="G21" s="973"/>
      <c r="H21" s="973"/>
      <c r="I21" s="973"/>
      <c r="J21" s="973"/>
      <c r="K21" s="973"/>
      <c r="L21" s="973"/>
      <c r="M21" s="973"/>
      <c r="N21" s="973"/>
      <c r="O21" s="973"/>
      <c r="P21" s="973"/>
      <c r="Q21" s="974">
        <f>Q18-Q20</f>
        <v>10581520</v>
      </c>
      <c r="R21" s="975"/>
      <c r="S21" s="975"/>
      <c r="T21" s="975"/>
      <c r="U21" s="975"/>
      <c r="V21" s="976"/>
      <c r="W21" s="286" t="s">
        <v>36</v>
      </c>
      <c r="X21" s="172" t="s">
        <v>43</v>
      </c>
      <c r="Y21" s="589" t="str">
        <f>IFERROR(IF(Q22&gt;=Q21,"○","×"),"")</f>
        <v>○</v>
      </c>
      <c r="Z21" s="256"/>
      <c r="AA21" s="256"/>
      <c r="AB21" s="256"/>
      <c r="AC21" s="256"/>
      <c r="AD21" s="256"/>
      <c r="AE21" s="256"/>
      <c r="AF21" s="256"/>
      <c r="AG21" s="256"/>
      <c r="AH21" s="256"/>
      <c r="AI21" s="256"/>
      <c r="AJ21" s="256"/>
      <c r="AK21" s="256"/>
      <c r="AL21" s="256"/>
      <c r="AM21" s="600" t="s">
        <v>2329</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45</v>
      </c>
      <c r="C22" s="585" t="s">
        <v>46</v>
      </c>
      <c r="D22" s="585"/>
      <c r="E22" s="585"/>
      <c r="F22" s="585"/>
      <c r="G22" s="585"/>
      <c r="H22" s="585"/>
      <c r="I22" s="585"/>
      <c r="J22" s="585"/>
      <c r="K22" s="585"/>
      <c r="L22" s="585"/>
      <c r="M22" s="585"/>
      <c r="N22" s="585"/>
      <c r="O22" s="585"/>
      <c r="P22" s="585"/>
      <c r="Q22" s="592">
        <v>11000000</v>
      </c>
      <c r="R22" s="593"/>
      <c r="S22" s="593"/>
      <c r="T22" s="593"/>
      <c r="U22" s="593"/>
      <c r="V22" s="594"/>
      <c r="W22" s="287" t="s">
        <v>36</v>
      </c>
      <c r="X22" s="172" t="s">
        <v>43</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47</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85" t="s">
        <v>2228</v>
      </c>
      <c r="D25" s="585"/>
      <c r="E25" s="585"/>
      <c r="F25" s="585"/>
      <c r="G25" s="585"/>
      <c r="H25" s="585"/>
      <c r="I25" s="585"/>
      <c r="J25" s="585"/>
      <c r="K25" s="585"/>
      <c r="L25" s="585"/>
      <c r="M25" s="585"/>
      <c r="N25" s="585"/>
      <c r="O25" s="585"/>
      <c r="P25" s="586"/>
      <c r="Q25" s="587">
        <f>Q19-Q20</f>
        <v>3808224</v>
      </c>
      <c r="R25" s="588"/>
      <c r="S25" s="588"/>
      <c r="T25" s="588"/>
      <c r="U25" s="588"/>
      <c r="V25" s="588"/>
      <c r="W25" s="277" t="s">
        <v>36</v>
      </c>
      <c r="X25" s="172" t="s">
        <v>43</v>
      </c>
      <c r="Y25" s="553" t="str">
        <f>IFERROR(IF(Q25&lt;=0,"",IF(Q26&gt;=Q25,"○","△")),"")</f>
        <v>△</v>
      </c>
      <c r="Z25" s="172" t="s">
        <v>43</v>
      </c>
      <c r="AA25" s="589" t="str">
        <f>IFERROR(IF(Y25="△",IF(Q28&gt;=Q25,"○","×"),""),"")</f>
        <v>○</v>
      </c>
      <c r="AB25" s="256"/>
      <c r="AC25" s="256"/>
      <c r="AD25" s="256"/>
      <c r="AE25" s="256"/>
      <c r="AF25" s="256"/>
      <c r="AG25" s="256"/>
      <c r="AH25" s="256"/>
      <c r="AI25" s="256"/>
      <c r="AJ25" s="256"/>
      <c r="AK25" s="256"/>
      <c r="AL25" s="256"/>
    </row>
    <row r="26" spans="1:55" ht="37.5" customHeight="1" thickBot="1">
      <c r="A26" s="256"/>
      <c r="B26" s="285" t="s">
        <v>49</v>
      </c>
      <c r="C26" s="585" t="s">
        <v>2330</v>
      </c>
      <c r="D26" s="585"/>
      <c r="E26" s="585"/>
      <c r="F26" s="585"/>
      <c r="G26" s="585"/>
      <c r="H26" s="585"/>
      <c r="I26" s="585"/>
      <c r="J26" s="585"/>
      <c r="K26" s="585"/>
      <c r="L26" s="585"/>
      <c r="M26" s="585"/>
      <c r="N26" s="585"/>
      <c r="O26" s="585"/>
      <c r="P26" s="586"/>
      <c r="Q26" s="592">
        <v>2300000</v>
      </c>
      <c r="R26" s="593"/>
      <c r="S26" s="593"/>
      <c r="T26" s="593"/>
      <c r="U26" s="593"/>
      <c r="V26" s="594"/>
      <c r="W26" s="277" t="s">
        <v>36</v>
      </c>
      <c r="X26" s="172" t="s">
        <v>43</v>
      </c>
      <c r="Y26" s="554"/>
      <c r="Z26" s="172"/>
      <c r="AA26" s="590"/>
      <c r="AB26" s="256"/>
      <c r="AC26" s="256"/>
      <c r="AD26" s="256"/>
      <c r="AE26" s="256"/>
      <c r="AF26" s="256"/>
      <c r="AG26" s="256"/>
      <c r="AH26" s="256"/>
      <c r="AI26" s="256"/>
      <c r="AJ26" s="256"/>
      <c r="AK26" s="256"/>
      <c r="AL26" s="256"/>
    </row>
    <row r="27" spans="1:55" ht="26.25" customHeight="1" thickBot="1">
      <c r="A27" s="256"/>
      <c r="B27" s="285" t="s">
        <v>50</v>
      </c>
      <c r="C27" s="585" t="s">
        <v>2229</v>
      </c>
      <c r="D27" s="585"/>
      <c r="E27" s="585"/>
      <c r="F27" s="585"/>
      <c r="G27" s="585"/>
      <c r="H27" s="585"/>
      <c r="I27" s="585"/>
      <c r="J27" s="585"/>
      <c r="K27" s="585"/>
      <c r="L27" s="585"/>
      <c r="M27" s="585"/>
      <c r="N27" s="585"/>
      <c r="O27" s="585"/>
      <c r="P27" s="586"/>
      <c r="Q27" s="592">
        <v>1600000</v>
      </c>
      <c r="R27" s="593"/>
      <c r="S27" s="593"/>
      <c r="T27" s="593"/>
      <c r="U27" s="593"/>
      <c r="V27" s="594"/>
      <c r="W27" s="277" t="s">
        <v>36</v>
      </c>
      <c r="X27" s="172"/>
      <c r="Y27" s="172"/>
      <c r="Z27" s="172"/>
      <c r="AA27" s="590"/>
      <c r="AB27" s="256"/>
      <c r="AC27" s="256"/>
      <c r="AD27" s="256"/>
      <c r="AE27" s="256"/>
      <c r="AF27" s="256"/>
      <c r="AG27" s="256"/>
      <c r="AH27" s="256"/>
      <c r="AI27" s="256"/>
      <c r="AJ27" s="256"/>
      <c r="AK27" s="256"/>
      <c r="AL27" s="256"/>
      <c r="AM27" s="604" t="s">
        <v>2331</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51</v>
      </c>
      <c r="C28" s="585" t="s">
        <v>2230</v>
      </c>
      <c r="D28" s="585"/>
      <c r="E28" s="585"/>
      <c r="F28" s="585"/>
      <c r="G28" s="585"/>
      <c r="H28" s="585"/>
      <c r="I28" s="585"/>
      <c r="J28" s="585"/>
      <c r="K28" s="585"/>
      <c r="L28" s="585"/>
      <c r="M28" s="585"/>
      <c r="N28" s="585"/>
      <c r="O28" s="585"/>
      <c r="P28" s="586"/>
      <c r="Q28" s="610">
        <f>Q26+Q27</f>
        <v>3900000</v>
      </c>
      <c r="R28" s="611"/>
      <c r="S28" s="611"/>
      <c r="T28" s="611"/>
      <c r="U28" s="611"/>
      <c r="V28" s="612"/>
      <c r="W28" s="277" t="s">
        <v>36</v>
      </c>
      <c r="X28" s="256"/>
      <c r="Y28" s="256"/>
      <c r="Z28" s="256" t="s">
        <v>43</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595" t="s">
        <v>2395</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32</v>
      </c>
      <c r="C32" s="595" t="s">
        <v>2231</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32</v>
      </c>
      <c r="C33" s="595" t="s">
        <v>2232</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32</v>
      </c>
      <c r="C34" s="595" t="s">
        <v>2332</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596" t="b">
        <v>1</v>
      </c>
      <c r="C37" s="597"/>
      <c r="D37" s="598" t="s">
        <v>52</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43</v>
      </c>
      <c r="AB37" s="284" t="str">
        <f>IFERROR(IF(AM36=TRUE,"○","×"),"")</f>
        <v>○</v>
      </c>
      <c r="AC37" s="172"/>
      <c r="AD37" s="172"/>
      <c r="AE37" s="172"/>
      <c r="AF37" s="172"/>
      <c r="AG37" s="172"/>
      <c r="AH37" s="172"/>
      <c r="AI37" s="172"/>
      <c r="AJ37" s="172"/>
      <c r="AK37" s="172"/>
      <c r="AL37" s="256"/>
      <c r="AM37" s="600" t="s">
        <v>53</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603" t="s">
        <v>2233</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32</v>
      </c>
      <c r="C41" s="603" t="s">
        <v>54</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2333</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56</v>
      </c>
      <c r="C43" s="556"/>
      <c r="D43" s="556"/>
      <c r="E43" s="556"/>
      <c r="F43" s="556"/>
      <c r="G43" s="556"/>
      <c r="H43" s="556"/>
      <c r="I43" s="556"/>
      <c r="J43" s="556"/>
      <c r="K43" s="556"/>
      <c r="L43" s="556"/>
      <c r="M43" s="556"/>
      <c r="N43" s="625"/>
      <c r="O43" s="626" t="s">
        <v>57</v>
      </c>
      <c r="P43" s="627"/>
      <c r="Q43" s="628">
        <v>6</v>
      </c>
      <c r="R43" s="628"/>
      <c r="S43" s="297" t="s">
        <v>58</v>
      </c>
      <c r="T43" s="629">
        <v>6</v>
      </c>
      <c r="U43" s="630"/>
      <c r="V43" s="298" t="s">
        <v>59</v>
      </c>
      <c r="W43" s="631" t="s">
        <v>60</v>
      </c>
      <c r="X43" s="631"/>
      <c r="Y43" s="631" t="s">
        <v>57</v>
      </c>
      <c r="Z43" s="632"/>
      <c r="AA43" s="629">
        <v>7</v>
      </c>
      <c r="AB43" s="630"/>
      <c r="AC43" s="299" t="s">
        <v>58</v>
      </c>
      <c r="AD43" s="629">
        <v>5</v>
      </c>
      <c r="AE43" s="630"/>
      <c r="AF43" s="298" t="s">
        <v>59</v>
      </c>
      <c r="AG43" s="298" t="s">
        <v>61</v>
      </c>
      <c r="AH43" s="298">
        <f>IF(Q43&gt;=1,(AA43*12+AD43)-(Q43*12+T43)+1,"")</f>
        <v>12</v>
      </c>
      <c r="AI43" s="631" t="s">
        <v>62</v>
      </c>
      <c r="AJ43" s="631"/>
      <c r="AK43" s="300" t="s">
        <v>63</v>
      </c>
      <c r="AL43" s="256"/>
      <c r="AM43" s="289"/>
      <c r="BB43" s="294"/>
    </row>
    <row r="44" spans="1:55" s="266" customFormat="1" ht="25.5" customHeight="1" thickBot="1">
      <c r="A44" s="265"/>
      <c r="B44" s="613" t="s">
        <v>64</v>
      </c>
      <c r="C44" s="614"/>
      <c r="D44" s="614"/>
      <c r="E44" s="614"/>
      <c r="F44" s="301" t="b">
        <v>1</v>
      </c>
      <c r="G44" s="615" t="s">
        <v>65</v>
      </c>
      <c r="H44" s="616"/>
      <c r="I44" s="617"/>
      <c r="J44" s="302" t="b">
        <v>0</v>
      </c>
      <c r="K44" s="615" t="s">
        <v>66</v>
      </c>
      <c r="L44" s="616"/>
      <c r="M44" s="616"/>
      <c r="N44" s="616"/>
      <c r="O44" s="618"/>
      <c r="P44" s="303" t="b">
        <v>0</v>
      </c>
      <c r="Q44" s="619" t="s">
        <v>67</v>
      </c>
      <c r="R44" s="620"/>
      <c r="S44" s="620"/>
      <c r="T44" s="620"/>
      <c r="U44" s="620"/>
      <c r="V44" s="621"/>
      <c r="W44" s="303"/>
      <c r="X44" s="619" t="s">
        <v>68</v>
      </c>
      <c r="Y44" s="620"/>
      <c r="Z44" s="621"/>
      <c r="AA44" s="303" t="b">
        <v>1</v>
      </c>
      <c r="AB44" s="622" t="s">
        <v>69</v>
      </c>
      <c r="AC44" s="623"/>
      <c r="AD44" s="304" t="s">
        <v>8</v>
      </c>
      <c r="AE44" s="634"/>
      <c r="AF44" s="634"/>
      <c r="AG44" s="634"/>
      <c r="AH44" s="634"/>
      <c r="AI44" s="634"/>
      <c r="AJ44" s="635" t="s">
        <v>70</v>
      </c>
      <c r="AK44" s="636"/>
      <c r="AL44" s="265"/>
      <c r="AM44" s="624" t="s">
        <v>2151</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71</v>
      </c>
      <c r="C45" s="690"/>
      <c r="D45" s="690"/>
      <c r="E45" s="690"/>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637"/>
      <c r="Z46" s="637"/>
      <c r="AA46" s="637"/>
      <c r="AB46" s="637"/>
      <c r="AC46" s="637"/>
      <c r="AD46" s="637"/>
      <c r="AE46" s="637"/>
      <c r="AF46" s="637"/>
      <c r="AG46" s="637"/>
      <c r="AH46" s="637"/>
      <c r="AI46" s="637"/>
      <c r="AJ46" s="637"/>
      <c r="AK46" s="313" t="s">
        <v>74</v>
      </c>
      <c r="AL46" s="265"/>
      <c r="AM46" s="604" t="s">
        <v>2151</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t="s">
        <v>76</v>
      </c>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2236</v>
      </c>
      <c r="AR49" s="162" t="b">
        <v>0</v>
      </c>
      <c r="AS49" s="633" t="s">
        <v>2234</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2237</v>
      </c>
      <c r="AO50" s="633"/>
      <c r="AP50" s="633"/>
      <c r="AR50" s="162" t="b">
        <v>1</v>
      </c>
      <c r="AS50" s="633" t="s">
        <v>2235</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66</v>
      </c>
      <c r="AO51" s="633"/>
      <c r="AP51" s="633"/>
      <c r="AR51" s="162" t="b">
        <v>0</v>
      </c>
      <c r="AS51" s="633" t="s">
        <v>69</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1</v>
      </c>
      <c r="AN52" s="633" t="s">
        <v>67</v>
      </c>
      <c r="AO52" s="633"/>
      <c r="AP52" s="633"/>
      <c r="AR52" s="162" t="b">
        <v>1</v>
      </c>
      <c r="AS52" s="633" t="s">
        <v>2238</v>
      </c>
      <c r="AT52" s="633"/>
    </row>
    <row r="53" spans="1:59" s="266" customFormat="1" ht="18.75" customHeight="1">
      <c r="A53" s="265"/>
      <c r="B53" s="691"/>
      <c r="C53" s="692"/>
      <c r="D53" s="692"/>
      <c r="E53" s="692"/>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633" t="s">
        <v>68</v>
      </c>
      <c r="AO53" s="633"/>
      <c r="AP53" s="633"/>
      <c r="AQ53" s="258"/>
      <c r="AR53" s="162" t="b">
        <v>0</v>
      </c>
      <c r="AS53" s="633" t="s">
        <v>83</v>
      </c>
      <c r="AT53" s="633"/>
      <c r="AV53" s="258"/>
      <c r="AW53" s="258"/>
      <c r="AX53" s="258"/>
      <c r="AY53" s="258"/>
      <c r="AZ53" s="258"/>
      <c r="BG53" s="258"/>
    </row>
    <row r="54" spans="1:59" ht="18.75" customHeight="1">
      <c r="A54" s="256"/>
      <c r="B54" s="693"/>
      <c r="C54" s="694"/>
      <c r="D54" s="694"/>
      <c r="E54" s="694"/>
      <c r="F54" s="319" t="s">
        <v>78</v>
      </c>
      <c r="G54" s="320"/>
      <c r="H54" s="320"/>
      <c r="I54" s="320"/>
      <c r="J54" s="320"/>
      <c r="K54" s="320"/>
      <c r="L54" s="320"/>
      <c r="M54" s="668" t="s">
        <v>79</v>
      </c>
      <c r="N54" s="669"/>
      <c r="O54" s="669"/>
      <c r="P54" s="669">
        <v>30</v>
      </c>
      <c r="Q54" s="669"/>
      <c r="R54" s="315" t="s">
        <v>80</v>
      </c>
      <c r="S54" s="669">
        <v>4</v>
      </c>
      <c r="T54" s="669"/>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633" t="s">
        <v>69</v>
      </c>
      <c r="AO54" s="633"/>
      <c r="AP54" s="633"/>
      <c r="AR54" s="162" t="b">
        <v>1</v>
      </c>
      <c r="AS54" s="633" t="s">
        <v>2239</v>
      </c>
      <c r="AT54" s="633"/>
    </row>
    <row r="55" spans="1:59" ht="24.75" customHeight="1">
      <c r="A55" s="256"/>
      <c r="B55" s="670" t="s">
        <v>84</v>
      </c>
      <c r="C55" s="671"/>
      <c r="D55" s="671"/>
      <c r="E55" s="672"/>
      <c r="F55" s="676"/>
      <c r="G55" s="678" t="s">
        <v>85</v>
      </c>
      <c r="H55" s="679"/>
      <c r="I55" s="680"/>
      <c r="J55" s="678" t="s">
        <v>86</v>
      </c>
      <c r="K55" s="679"/>
      <c r="L55" s="679"/>
      <c r="M55" s="684"/>
      <c r="N55" s="685" t="s">
        <v>2334</v>
      </c>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87</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2240</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37</v>
      </c>
      <c r="C60" s="654" t="s">
        <v>88</v>
      </c>
      <c r="D60" s="655"/>
      <c r="E60" s="655"/>
      <c r="F60" s="655"/>
      <c r="G60" s="655"/>
      <c r="H60" s="655"/>
      <c r="I60" s="655"/>
      <c r="J60" s="655"/>
      <c r="K60" s="655"/>
      <c r="L60" s="655"/>
      <c r="M60" s="655"/>
      <c r="N60" s="655"/>
      <c r="O60" s="655"/>
      <c r="P60" s="655"/>
      <c r="Q60" s="655"/>
      <c r="R60" s="655"/>
      <c r="S60" s="656"/>
      <c r="T60" s="657">
        <f>SUM('別紙様式6-2 事業所個票１:事業所個票10'!$BN$51)</f>
        <v>5302660</v>
      </c>
      <c r="U60" s="658"/>
      <c r="V60" s="658"/>
      <c r="W60" s="658"/>
      <c r="X60" s="658"/>
      <c r="Y60" s="659"/>
      <c r="Z60" s="286" t="s">
        <v>36</v>
      </c>
      <c r="AA60" s="275" t="s">
        <v>43</v>
      </c>
      <c r="AB60" s="660" t="str">
        <f>IFERROR(IF(T61&gt;=T60,"○","×"),"")</f>
        <v>×</v>
      </c>
      <c r="AC60" s="327"/>
      <c r="AD60" s="328"/>
      <c r="AE60" s="328"/>
      <c r="AF60" s="328"/>
      <c r="AG60" s="328"/>
      <c r="AH60" s="328"/>
      <c r="AI60" s="328"/>
      <c r="AJ60" s="328"/>
      <c r="AK60" s="328"/>
      <c r="AL60" s="256"/>
      <c r="AM60" s="604" t="s">
        <v>2241</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44</v>
      </c>
      <c r="C61" s="662" t="s">
        <v>89</v>
      </c>
      <c r="D61" s="663"/>
      <c r="E61" s="663"/>
      <c r="F61" s="663"/>
      <c r="G61" s="663"/>
      <c r="H61" s="663"/>
      <c r="I61" s="663"/>
      <c r="J61" s="663"/>
      <c r="K61" s="663"/>
      <c r="L61" s="663"/>
      <c r="M61" s="663"/>
      <c r="N61" s="663"/>
      <c r="O61" s="663"/>
      <c r="P61" s="663"/>
      <c r="Q61" s="663"/>
      <c r="R61" s="663"/>
      <c r="S61" s="664"/>
      <c r="T61" s="665">
        <v>5000000</v>
      </c>
      <c r="U61" s="666"/>
      <c r="V61" s="666"/>
      <c r="W61" s="666"/>
      <c r="X61" s="666"/>
      <c r="Y61" s="667"/>
      <c r="Z61" s="277" t="s">
        <v>36</v>
      </c>
      <c r="AA61" s="275" t="s">
        <v>43</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603" t="s">
        <v>2335</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2336</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92</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36</v>
      </c>
      <c r="Z67" s="334" t="s">
        <v>43</v>
      </c>
      <c r="AA67" s="335"/>
      <c r="AB67" s="256"/>
      <c r="AC67" s="256"/>
      <c r="AD67" s="256"/>
      <c r="AE67" s="256"/>
      <c r="AF67" s="256"/>
      <c r="AG67" s="256" t="s">
        <v>43</v>
      </c>
      <c r="AH67" s="336" t="str">
        <f>IF(T68&lt;T67,"×","")</f>
        <v/>
      </c>
      <c r="AI67" s="256"/>
      <c r="AJ67" s="256"/>
      <c r="AK67" s="256"/>
      <c r="AL67" s="256"/>
      <c r="AM67" s="624" t="s">
        <v>2337</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2338</v>
      </c>
      <c r="C68" s="713"/>
      <c r="D68" s="713"/>
      <c r="E68" s="713"/>
      <c r="F68" s="713"/>
      <c r="G68" s="713"/>
      <c r="H68" s="713"/>
      <c r="I68" s="713"/>
      <c r="J68" s="713"/>
      <c r="K68" s="713"/>
      <c r="L68" s="713"/>
      <c r="M68" s="713"/>
      <c r="N68" s="713"/>
      <c r="O68" s="713"/>
      <c r="P68" s="713"/>
      <c r="Q68" s="713"/>
      <c r="R68" s="713"/>
      <c r="S68" s="713"/>
      <c r="T68" s="714">
        <v>530000</v>
      </c>
      <c r="U68" s="715"/>
      <c r="V68" s="715"/>
      <c r="W68" s="715"/>
      <c r="X68" s="716"/>
      <c r="Y68" s="337" t="s">
        <v>36</v>
      </c>
      <c r="Z68" s="256"/>
      <c r="AA68" s="338" t="s">
        <v>73</v>
      </c>
      <c r="AB68" s="717">
        <f>IFERROR(T69/T67*100,0)</f>
        <v>0</v>
      </c>
      <c r="AC68" s="718"/>
      <c r="AD68" s="719"/>
      <c r="AE68" s="339" t="s">
        <v>93</v>
      </c>
      <c r="AF68" s="339" t="s">
        <v>74</v>
      </c>
      <c r="AG68" s="256" t="s">
        <v>43</v>
      </c>
      <c r="AH68" s="284" t="str">
        <f>IF(T67=0,"",(IF(AB68&gt;=200/3,"○","×")))</f>
        <v/>
      </c>
      <c r="AI68" s="322"/>
      <c r="AJ68" s="322"/>
      <c r="AK68" s="322"/>
      <c r="AL68" s="256"/>
      <c r="AM68" s="624" t="s">
        <v>2339</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2340</v>
      </c>
      <c r="D69" s="695"/>
      <c r="E69" s="695"/>
      <c r="F69" s="695"/>
      <c r="G69" s="695"/>
      <c r="H69" s="695"/>
      <c r="I69" s="695"/>
      <c r="J69" s="695"/>
      <c r="K69" s="695"/>
      <c r="L69" s="695"/>
      <c r="M69" s="695"/>
      <c r="N69" s="695"/>
      <c r="O69" s="695"/>
      <c r="P69" s="695"/>
      <c r="Q69" s="695"/>
      <c r="R69" s="695"/>
      <c r="S69" s="695"/>
      <c r="T69" s="697">
        <v>400000</v>
      </c>
      <c r="U69" s="698"/>
      <c r="V69" s="698"/>
      <c r="W69" s="698"/>
      <c r="X69" s="699"/>
      <c r="Y69" s="341" t="s">
        <v>36</v>
      </c>
      <c r="Z69" s="342" t="s">
        <v>43</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73</v>
      </c>
      <c r="U70" s="700">
        <f>T69/10</f>
        <v>40000</v>
      </c>
      <c r="V70" s="700"/>
      <c r="W70" s="700"/>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94</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03" t="s">
        <v>2341</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1</v>
      </c>
      <c r="AN74" s="633" t="s">
        <v>2242</v>
      </c>
      <c r="AO74" s="633"/>
      <c r="AP74" s="633"/>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2342</v>
      </c>
      <c r="F75" s="722"/>
      <c r="G75" s="722"/>
      <c r="H75" s="722"/>
      <c r="I75" s="722"/>
      <c r="J75" s="722"/>
      <c r="K75" s="722"/>
      <c r="L75" s="722"/>
      <c r="M75" s="722"/>
      <c r="N75" s="722"/>
      <c r="O75" s="722"/>
      <c r="P75" s="722"/>
      <c r="Q75" s="722"/>
      <c r="R75" s="722"/>
      <c r="S75" s="722"/>
      <c r="T75" s="722"/>
      <c r="U75" s="722"/>
      <c r="V75" s="722"/>
      <c r="W75" s="722"/>
      <c r="X75" s="598"/>
      <c r="Y75" s="172" t="s">
        <v>43</v>
      </c>
      <c r="Z75" s="284" t="str">
        <f>IF(AR74&lt;&gt;"該当","",IF(AM74=TRUE,"○","×"))</f>
        <v>○</v>
      </c>
      <c r="AA75" s="352"/>
      <c r="AB75" s="352"/>
      <c r="AC75" s="352"/>
      <c r="AD75" s="352"/>
      <c r="AE75" s="352"/>
      <c r="AF75" s="352"/>
      <c r="AG75" s="352"/>
      <c r="AH75" s="352"/>
      <c r="AI75" s="352"/>
      <c r="AJ75" s="352"/>
      <c r="AK75" s="352"/>
      <c r="AL75" s="352"/>
      <c r="AM75" s="624" t="s">
        <v>91</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603" t="s">
        <v>2344</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96</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231434</v>
      </c>
      <c r="V79" s="709"/>
      <c r="W79" s="709"/>
      <c r="X79" s="709"/>
      <c r="Y79" s="709"/>
      <c r="Z79" s="357" t="s">
        <v>36</v>
      </c>
      <c r="AA79" s="275" t="s">
        <v>43</v>
      </c>
      <c r="AB79" s="589" t="s">
        <v>2422</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97</v>
      </c>
      <c r="D80" s="725"/>
      <c r="E80" s="725"/>
      <c r="F80" s="725"/>
      <c r="G80" s="725"/>
      <c r="H80" s="725"/>
      <c r="I80" s="725"/>
      <c r="J80" s="725"/>
      <c r="K80" s="725"/>
      <c r="L80" s="725"/>
      <c r="M80" s="725"/>
      <c r="N80" s="725"/>
      <c r="O80" s="725"/>
      <c r="P80" s="725"/>
      <c r="Q80" s="725"/>
      <c r="R80" s="725"/>
      <c r="S80" s="725"/>
      <c r="T80" s="726"/>
      <c r="U80" s="708">
        <f>U81+U86</f>
        <v>336000</v>
      </c>
      <c r="V80" s="709"/>
      <c r="W80" s="709"/>
      <c r="X80" s="709"/>
      <c r="Y80" s="709"/>
      <c r="Z80" s="333" t="s">
        <v>36</v>
      </c>
      <c r="AA80" s="275" t="s">
        <v>43</v>
      </c>
      <c r="AB80" s="591"/>
      <c r="AC80" s="275"/>
      <c r="AD80" s="275"/>
      <c r="AE80" s="275"/>
      <c r="AF80" s="275"/>
      <c r="AG80" s="275"/>
      <c r="AH80" s="322"/>
      <c r="AI80" s="322"/>
      <c r="AJ80" s="322"/>
      <c r="AK80" s="322"/>
      <c r="AL80" s="322"/>
      <c r="AM80" s="358"/>
    </row>
    <row r="81" spans="1:55" ht="9.75" customHeight="1" thickBot="1">
      <c r="A81" s="256"/>
      <c r="B81" s="356"/>
      <c r="C81" s="741" t="s">
        <v>98</v>
      </c>
      <c r="D81" s="742"/>
      <c r="E81" s="745" t="s">
        <v>99</v>
      </c>
      <c r="F81" s="746"/>
      <c r="G81" s="746"/>
      <c r="H81" s="746"/>
      <c r="I81" s="746"/>
      <c r="J81" s="746"/>
      <c r="K81" s="746"/>
      <c r="L81" s="746"/>
      <c r="M81" s="746"/>
      <c r="N81" s="746"/>
      <c r="O81" s="746"/>
      <c r="P81" s="746"/>
      <c r="Q81" s="746"/>
      <c r="R81" s="746"/>
      <c r="S81" s="746"/>
      <c r="T81" s="747"/>
      <c r="U81" s="751">
        <v>186000</v>
      </c>
      <c r="V81" s="752"/>
      <c r="W81" s="752"/>
      <c r="X81" s="752"/>
      <c r="Y81" s="753"/>
      <c r="Z81" s="757" t="s">
        <v>36</v>
      </c>
      <c r="AA81" s="759" t="s">
        <v>43</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73</v>
      </c>
      <c r="AC82" s="727">
        <f>IFERROR(U83/U81*100,0)</f>
        <v>75.268817204301072</v>
      </c>
      <c r="AD82" s="728"/>
      <c r="AE82" s="729"/>
      <c r="AF82" s="733" t="s">
        <v>93</v>
      </c>
      <c r="AG82" s="733" t="s">
        <v>74</v>
      </c>
      <c r="AH82" s="734" t="s">
        <v>43</v>
      </c>
      <c r="AI82" s="589" t="s">
        <v>2422</v>
      </c>
      <c r="AJ82" s="322"/>
      <c r="AK82" s="256"/>
      <c r="AL82" s="322"/>
      <c r="AM82" s="735" t="s">
        <v>2345</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2346</v>
      </c>
      <c r="G83" s="762"/>
      <c r="H83" s="762"/>
      <c r="I83" s="762"/>
      <c r="J83" s="762"/>
      <c r="K83" s="762"/>
      <c r="L83" s="762"/>
      <c r="M83" s="762"/>
      <c r="N83" s="762"/>
      <c r="O83" s="762"/>
      <c r="P83" s="762"/>
      <c r="Q83" s="762"/>
      <c r="R83" s="762"/>
      <c r="S83" s="762"/>
      <c r="T83" s="762"/>
      <c r="U83" s="766">
        <v>140000</v>
      </c>
      <c r="V83" s="767"/>
      <c r="W83" s="767"/>
      <c r="X83" s="767"/>
      <c r="Y83" s="768"/>
      <c r="Z83" s="769" t="s">
        <v>36</v>
      </c>
      <c r="AA83" s="759" t="s">
        <v>43</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73</v>
      </c>
      <c r="V85" s="771">
        <f>U83/2</f>
        <v>70000</v>
      </c>
      <c r="W85" s="771"/>
      <c r="X85" s="771"/>
      <c r="Y85" s="101" t="s">
        <v>36</v>
      </c>
      <c r="Z85" s="3" t="s">
        <v>74</v>
      </c>
      <c r="AA85" s="102"/>
      <c r="AB85" s="343"/>
      <c r="AC85" s="343"/>
      <c r="AD85" s="344"/>
      <c r="AE85" s="772"/>
      <c r="AF85" s="772"/>
      <c r="AG85" s="339"/>
      <c r="AH85" s="256"/>
      <c r="AI85" s="348"/>
      <c r="AJ85" s="322"/>
      <c r="AK85" s="322"/>
      <c r="AL85" s="322"/>
      <c r="AM85" s="358"/>
    </row>
    <row r="86" spans="1:55" ht="9.75" customHeight="1" thickBot="1">
      <c r="A86" s="256"/>
      <c r="B86" s="356"/>
      <c r="C86" s="773" t="s">
        <v>100</v>
      </c>
      <c r="D86" s="774"/>
      <c r="E86" s="745" t="s">
        <v>101</v>
      </c>
      <c r="F86" s="746"/>
      <c r="G86" s="746"/>
      <c r="H86" s="746"/>
      <c r="I86" s="746"/>
      <c r="J86" s="746"/>
      <c r="K86" s="746"/>
      <c r="L86" s="746"/>
      <c r="M86" s="746"/>
      <c r="N86" s="746"/>
      <c r="O86" s="746"/>
      <c r="P86" s="746"/>
      <c r="Q86" s="746"/>
      <c r="R86" s="746"/>
      <c r="S86" s="746"/>
      <c r="T86" s="747"/>
      <c r="U86" s="751">
        <v>150000</v>
      </c>
      <c r="V86" s="752"/>
      <c r="W86" s="752"/>
      <c r="X86" s="752"/>
      <c r="Y86" s="753"/>
      <c r="Z86" s="776" t="s">
        <v>36</v>
      </c>
      <c r="AA86" s="759" t="s">
        <v>43</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73</v>
      </c>
      <c r="AC87" s="727">
        <f>IFERROR(U88/U86*100,0)</f>
        <v>83.333333333333343</v>
      </c>
      <c r="AD87" s="728"/>
      <c r="AE87" s="729"/>
      <c r="AF87" s="733" t="s">
        <v>93</v>
      </c>
      <c r="AG87" s="733" t="s">
        <v>74</v>
      </c>
      <c r="AH87" s="734" t="s">
        <v>43</v>
      </c>
      <c r="AI87" s="589" t="s">
        <v>2422</v>
      </c>
      <c r="AJ87" s="322"/>
      <c r="AK87" s="322"/>
      <c r="AL87" s="322"/>
      <c r="AM87" s="735" t="s">
        <v>2347</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2348</v>
      </c>
      <c r="G88" s="762"/>
      <c r="H88" s="762"/>
      <c r="I88" s="762"/>
      <c r="J88" s="762"/>
      <c r="K88" s="762"/>
      <c r="L88" s="762"/>
      <c r="M88" s="762"/>
      <c r="N88" s="762"/>
      <c r="O88" s="762"/>
      <c r="P88" s="762"/>
      <c r="Q88" s="762"/>
      <c r="R88" s="762"/>
      <c r="S88" s="762"/>
      <c r="T88" s="762"/>
      <c r="U88" s="766">
        <v>125000</v>
      </c>
      <c r="V88" s="767"/>
      <c r="W88" s="767"/>
      <c r="X88" s="767"/>
      <c r="Y88" s="768"/>
      <c r="Z88" s="778" t="s">
        <v>36</v>
      </c>
      <c r="AA88" s="759" t="s">
        <v>43</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73</v>
      </c>
      <c r="V90" s="700">
        <f>U88/2</f>
        <v>62500</v>
      </c>
      <c r="W90" s="700"/>
      <c r="X90" s="700"/>
      <c r="Y90" s="100" t="s">
        <v>36</v>
      </c>
      <c r="Z90" s="4" t="s">
        <v>74</v>
      </c>
      <c r="AA90" s="102"/>
      <c r="AB90" s="343"/>
      <c r="AC90" s="344"/>
      <c r="AD90" s="772"/>
      <c r="AE90" s="772"/>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103</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該当</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90" t="str">
        <f>IF(SUM('別紙様式6-2 事業所個票１:事業所個票10'!CI4)=0,"該当","")</f>
        <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108</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109</v>
      </c>
      <c r="F98" s="635"/>
      <c r="G98" s="635"/>
      <c r="H98" s="635"/>
      <c r="I98" s="635"/>
      <c r="J98" s="635"/>
      <c r="K98" s="635"/>
      <c r="L98" s="635"/>
      <c r="M98" s="635"/>
      <c r="N98" s="635"/>
      <c r="O98" s="635"/>
      <c r="P98" s="635"/>
      <c r="Q98" s="635"/>
      <c r="R98" s="79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633" t="s">
        <v>2242</v>
      </c>
      <c r="AO99" s="633"/>
      <c r="AP99" s="633"/>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2243</v>
      </c>
      <c r="AO100" s="633"/>
      <c r="AP100" s="633"/>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116</v>
      </c>
      <c r="D103" s="780"/>
      <c r="E103" s="780"/>
      <c r="F103" s="780"/>
      <c r="G103" s="780"/>
      <c r="H103" s="780"/>
      <c r="I103" s="780"/>
      <c r="J103" s="780"/>
      <c r="K103" s="780"/>
      <c r="L103" s="325"/>
      <c r="M103" s="781"/>
      <c r="N103" s="782"/>
      <c r="O103" s="783" t="s">
        <v>117</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
      </c>
      <c r="AL103" s="265"/>
      <c r="AM103" s="786" t="s">
        <v>2152</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118</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119</v>
      </c>
      <c r="F106" s="635"/>
      <c r="G106" s="635"/>
      <c r="H106" s="635"/>
      <c r="I106" s="635"/>
      <c r="J106" s="635"/>
      <c r="K106" s="635"/>
      <c r="L106" s="635"/>
      <c r="M106" s="635"/>
      <c r="N106" s="635"/>
      <c r="O106" s="635"/>
      <c r="P106" s="635"/>
      <c r="Q106" s="635"/>
      <c r="R106" s="79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95"/>
      <c r="C107" s="381" t="s">
        <v>110</v>
      </c>
      <c r="D107" s="796" t="s">
        <v>120</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2242</v>
      </c>
      <c r="AO107" s="633"/>
      <c r="AP107" s="633"/>
      <c r="AQ107" s="258"/>
      <c r="AR107" s="162" t="b">
        <v>0</v>
      </c>
      <c r="AS107" s="633" t="s">
        <v>2244</v>
      </c>
      <c r="AT107" s="633"/>
      <c r="AU107" s="633"/>
    </row>
    <row r="108" spans="1:55" s="266" customFormat="1" ht="25.5" customHeight="1" thickBot="1">
      <c r="A108" s="265"/>
      <c r="B108" s="795"/>
      <c r="C108" s="813"/>
      <c r="D108" s="815" t="s">
        <v>121</v>
      </c>
      <c r="E108" s="816"/>
      <c r="F108" s="816"/>
      <c r="G108" s="816"/>
      <c r="H108" s="821"/>
      <c r="I108" s="823" t="s">
        <v>37</v>
      </c>
      <c r="J108" s="825" t="s">
        <v>122</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1</v>
      </c>
      <c r="AN108" s="633" t="s">
        <v>2243</v>
      </c>
      <c r="AO108" s="633"/>
      <c r="AP108" s="633"/>
      <c r="AQ108" s="402"/>
      <c r="AR108" s="162" t="b">
        <v>0</v>
      </c>
      <c r="AS108" s="633" t="s">
        <v>2245</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t="s">
        <v>2349</v>
      </c>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2350</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44</v>
      </c>
      <c r="J110" s="403" t="s">
        <v>123</v>
      </c>
      <c r="K110" s="404"/>
      <c r="L110" s="404"/>
      <c r="M110" s="404"/>
      <c r="N110" s="404"/>
      <c r="O110" s="404"/>
      <c r="P110" s="404"/>
      <c r="Q110" s="404"/>
      <c r="R110" s="404"/>
      <c r="S110" s="803" t="s">
        <v>124</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t="s">
        <v>2351</v>
      </c>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2352</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2353</v>
      </c>
      <c r="D114" s="780"/>
      <c r="E114" s="780"/>
      <c r="F114" s="780"/>
      <c r="G114" s="780"/>
      <c r="H114" s="780"/>
      <c r="I114" s="780"/>
      <c r="J114" s="780"/>
      <c r="K114" s="780"/>
      <c r="L114" s="325"/>
      <c r="M114" s="781"/>
      <c r="N114" s="782"/>
      <c r="O114" s="810" t="s">
        <v>126</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2153</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127</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633" t="s">
        <v>2244</v>
      </c>
      <c r="AT117" s="633"/>
      <c r="AU117" s="633"/>
    </row>
    <row r="118" spans="1:55" s="266" customFormat="1" ht="20.25" customHeight="1" thickBot="1">
      <c r="A118" s="265"/>
      <c r="B118" s="781"/>
      <c r="C118" s="782"/>
      <c r="D118" s="847" t="s">
        <v>119</v>
      </c>
      <c r="E118" s="847"/>
      <c r="F118" s="847"/>
      <c r="G118" s="847"/>
      <c r="H118" s="847"/>
      <c r="I118" s="847"/>
      <c r="J118" s="847"/>
      <c r="K118" s="847"/>
      <c r="L118" s="847"/>
      <c r="M118" s="847"/>
      <c r="N118" s="847"/>
      <c r="O118" s="847"/>
      <c r="P118" s="847"/>
      <c r="Q118" s="848"/>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633" t="s">
        <v>2242</v>
      </c>
      <c r="AO118" s="633"/>
      <c r="AP118" s="633"/>
      <c r="AR118" s="162" t="b">
        <v>0</v>
      </c>
      <c r="AS118" s="633" t="s">
        <v>2245</v>
      </c>
      <c r="AT118" s="633"/>
      <c r="AU118" s="633"/>
    </row>
    <row r="119" spans="1:55" s="266" customFormat="1" ht="28.5" customHeight="1" thickBot="1">
      <c r="A119" s="265"/>
      <c r="B119" s="381" t="s">
        <v>110</v>
      </c>
      <c r="C119" s="849" t="s">
        <v>129</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2243</v>
      </c>
      <c r="AO119" s="633"/>
      <c r="AP119" s="633"/>
      <c r="AR119" s="162" t="b">
        <v>0</v>
      </c>
      <c r="AS119" s="633" t="s">
        <v>2246</v>
      </c>
      <c r="AT119" s="633"/>
      <c r="AU119" s="633"/>
    </row>
    <row r="120" spans="1:55" s="266" customFormat="1" ht="25.5" customHeight="1">
      <c r="A120" s="265"/>
      <c r="B120" s="813"/>
      <c r="C120" s="815" t="s">
        <v>130</v>
      </c>
      <c r="D120" s="816"/>
      <c r="E120" s="816"/>
      <c r="F120" s="816"/>
      <c r="G120" s="417"/>
      <c r="H120" s="418" t="s">
        <v>37</v>
      </c>
      <c r="I120" s="831" t="s">
        <v>131</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2354</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44</v>
      </c>
      <c r="I121" s="841" t="s">
        <v>132</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45</v>
      </c>
      <c r="I122" s="844" t="s">
        <v>133</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112</v>
      </c>
      <c r="C123" s="853" t="s">
        <v>125</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2355</v>
      </c>
      <c r="C125" s="855"/>
      <c r="D125" s="855"/>
      <c r="E125" s="855"/>
      <c r="F125" s="855"/>
      <c r="G125" s="855"/>
      <c r="H125" s="855"/>
      <c r="I125" s="855"/>
      <c r="J125" s="855"/>
      <c r="K125" s="855"/>
      <c r="L125" s="325"/>
      <c r="M125" s="781"/>
      <c r="N125" s="782"/>
      <c r="O125" s="856" t="s">
        <v>134</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2154</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135</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137</v>
      </c>
      <c r="C129" s="556"/>
      <c r="D129" s="556"/>
      <c r="E129" s="556"/>
      <c r="F129" s="556"/>
      <c r="G129" s="556"/>
      <c r="H129" s="556"/>
      <c r="I129" s="556"/>
      <c r="J129" s="556"/>
      <c r="K129" s="556"/>
      <c r="L129" s="550" t="s">
        <v>2370</v>
      </c>
      <c r="M129" s="550"/>
      <c r="N129" s="550"/>
      <c r="O129" s="550"/>
      <c r="P129" s="550"/>
      <c r="Q129" s="550"/>
      <c r="R129" s="550"/>
      <c r="S129" s="550"/>
      <c r="T129" s="550"/>
      <c r="U129" s="550"/>
      <c r="V129" s="550"/>
      <c r="W129" s="550"/>
      <c r="X129" s="550"/>
      <c r="Y129" s="550"/>
      <c r="Z129" s="550"/>
      <c r="AA129" s="551"/>
      <c r="AB129" s="426">
        <f>SUM('別紙様式6-2 事業所個票１:事業所個票10'!AG37)</f>
        <v>3</v>
      </c>
      <c r="AC129" s="552" t="s">
        <v>2372</v>
      </c>
      <c r="AD129" s="553" t="str">
        <f>IF(AB130=0,"",IF(AB129&gt;=AB130,"○","×"))</f>
        <v>○</v>
      </c>
      <c r="AE129" s="256"/>
      <c r="AF129" s="256"/>
      <c r="AG129" s="256"/>
      <c r="AH129" s="256"/>
      <c r="AI129" s="256"/>
      <c r="AJ129" s="256"/>
      <c r="AK129" s="256"/>
      <c r="AL129" s="256"/>
      <c r="AM129" s="427" t="str">
        <f>IF(OR(AD129="×",AD131="×"),"×","")</f>
        <v>×</v>
      </c>
    </row>
    <row r="130" spans="1:56" ht="24.75" customHeight="1" thickBot="1">
      <c r="A130" s="256"/>
      <c r="B130" s="557"/>
      <c r="C130" s="558"/>
      <c r="D130" s="558"/>
      <c r="E130" s="558"/>
      <c r="F130" s="558"/>
      <c r="G130" s="558"/>
      <c r="H130" s="558"/>
      <c r="I130" s="558"/>
      <c r="J130" s="558"/>
      <c r="K130" s="558"/>
      <c r="L130" s="550" t="s">
        <v>2371</v>
      </c>
      <c r="M130" s="550"/>
      <c r="N130" s="550"/>
      <c r="O130" s="550"/>
      <c r="P130" s="550"/>
      <c r="Q130" s="550"/>
      <c r="R130" s="550"/>
      <c r="S130" s="550"/>
      <c r="T130" s="550"/>
      <c r="U130" s="550"/>
      <c r="V130" s="550"/>
      <c r="W130" s="550"/>
      <c r="X130" s="550"/>
      <c r="Y130" s="550"/>
      <c r="Z130" s="550"/>
      <c r="AA130" s="551"/>
      <c r="AB130" s="426">
        <f>SUM('別紙様式6-2 事業所個票１:事業所個票10'!CI6)</f>
        <v>3</v>
      </c>
      <c r="AC130" s="552"/>
      <c r="AD130" s="554"/>
      <c r="AE130" s="256"/>
      <c r="AF130" s="256"/>
      <c r="AG130" s="256"/>
      <c r="AH130" s="256"/>
      <c r="AI130" s="256"/>
      <c r="AJ130" s="256"/>
      <c r="AK130" s="256"/>
      <c r="AL130" s="256"/>
    </row>
    <row r="131" spans="1:56" ht="24.75" customHeight="1" thickBot="1">
      <c r="A131" s="256"/>
      <c r="B131" s="858" t="s">
        <v>2356</v>
      </c>
      <c r="C131" s="850"/>
      <c r="D131" s="850"/>
      <c r="E131" s="850"/>
      <c r="F131" s="850"/>
      <c r="G131" s="850"/>
      <c r="H131" s="850"/>
      <c r="I131" s="850"/>
      <c r="J131" s="850"/>
      <c r="K131" s="850"/>
      <c r="L131" s="550" t="s">
        <v>2370</v>
      </c>
      <c r="M131" s="550"/>
      <c r="N131" s="550"/>
      <c r="O131" s="550"/>
      <c r="P131" s="550"/>
      <c r="Q131" s="550"/>
      <c r="R131" s="550"/>
      <c r="S131" s="550"/>
      <c r="T131" s="550"/>
      <c r="U131" s="550"/>
      <c r="V131" s="550"/>
      <c r="W131" s="550"/>
      <c r="X131" s="550"/>
      <c r="Y131" s="550"/>
      <c r="Z131" s="550"/>
      <c r="AA131" s="551"/>
      <c r="AB131" s="426">
        <f>SUM('別紙様式6-2 事業所個票１:事業所個票10'!AO37)</f>
        <v>2</v>
      </c>
      <c r="AC131" s="552" t="s">
        <v>2372</v>
      </c>
      <c r="AD131" s="553" t="str">
        <f>IF(AB132=0,"",IF(AB131&gt;=AB132,"○","×"))</f>
        <v>×</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2371</v>
      </c>
      <c r="M132" s="550"/>
      <c r="N132" s="550"/>
      <c r="O132" s="550"/>
      <c r="P132" s="550"/>
      <c r="Q132" s="550"/>
      <c r="R132" s="550"/>
      <c r="S132" s="550"/>
      <c r="T132" s="550"/>
      <c r="U132" s="550"/>
      <c r="V132" s="550"/>
      <c r="W132" s="550"/>
      <c r="X132" s="550"/>
      <c r="Y132" s="550"/>
      <c r="Z132" s="550"/>
      <c r="AA132" s="551"/>
      <c r="AB132" s="426">
        <f>SUM('別紙様式6-2 事業所個票１:事業所個票10'!CI6)</f>
        <v>3</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24" t="s">
        <v>2357</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140</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74</v>
      </c>
      <c r="AL139" s="265"/>
      <c r="AM139" s="162" t="b">
        <v>0</v>
      </c>
      <c r="AN139" s="786" t="s">
        <v>2360</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142</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143</v>
      </c>
      <c r="C143" s="725"/>
      <c r="D143" s="725"/>
      <c r="E143" s="725"/>
      <c r="F143" s="725"/>
      <c r="G143" s="725"/>
      <c r="H143" s="725"/>
      <c r="I143" s="725"/>
      <c r="J143" s="725"/>
      <c r="K143" s="725"/>
      <c r="L143" s="725"/>
      <c r="M143" s="725"/>
      <c r="N143" s="725"/>
      <c r="O143" s="725"/>
      <c r="P143" s="725"/>
      <c r="Q143" s="726"/>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2373</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144</v>
      </c>
      <c r="C144" s="706"/>
      <c r="D144" s="706"/>
      <c r="E144" s="706"/>
      <c r="F144" s="706"/>
      <c r="G144" s="706"/>
      <c r="H144" s="706"/>
      <c r="I144" s="706"/>
      <c r="J144" s="706"/>
      <c r="K144" s="706"/>
      <c r="L144" s="706"/>
      <c r="M144" s="706"/>
      <c r="N144" s="706"/>
      <c r="O144" s="706"/>
      <c r="P144" s="706"/>
      <c r="Q144" s="707"/>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2374</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145</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
      </c>
      <c r="AJ147" s="864"/>
      <c r="AK147" s="865"/>
      <c r="AL147" s="265"/>
    </row>
    <row r="148" spans="1:55" s="266" customFormat="1" ht="28.5" customHeight="1">
      <c r="A148" s="265"/>
      <c r="B148" s="355" t="s">
        <v>90</v>
      </c>
      <c r="C148" s="877" t="s">
        <v>147</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該当</v>
      </c>
      <c r="AJ150" s="864"/>
      <c r="AK150" s="865"/>
      <c r="AL150" s="265"/>
    </row>
    <row r="151" spans="1:55" s="266" customFormat="1" ht="39" customHeight="1">
      <c r="A151" s="265"/>
      <c r="B151" s="355" t="s">
        <v>90</v>
      </c>
      <c r="C151" s="877" t="s">
        <v>149</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150</v>
      </c>
      <c r="C153" s="879"/>
      <c r="D153" s="879"/>
      <c r="E153" s="880"/>
      <c r="F153" s="881" t="s">
        <v>151</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2247</v>
      </c>
      <c r="AN153" s="624" t="s">
        <v>2155</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152</v>
      </c>
      <c r="C154" s="850"/>
      <c r="D154" s="850"/>
      <c r="E154" s="869"/>
      <c r="F154" s="460"/>
      <c r="G154" s="873" t="s">
        <v>153</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154</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2156</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155</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156</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1</v>
      </c>
    </row>
    <row r="158" spans="1:55" s="266" customFormat="1" ht="24.75" customHeight="1" thickBot="1">
      <c r="A158" s="265"/>
      <c r="B158" s="858" t="s">
        <v>157</v>
      </c>
      <c r="C158" s="850"/>
      <c r="D158" s="850"/>
      <c r="E158" s="869"/>
      <c r="F158" s="465"/>
      <c r="G158" s="884" t="s">
        <v>158</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159</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2156</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160</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161</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1</v>
      </c>
    </row>
    <row r="162" spans="1:55" s="266" customFormat="1" ht="13.5" customHeight="1" thickBot="1">
      <c r="A162" s="265"/>
      <c r="B162" s="858" t="s">
        <v>162</v>
      </c>
      <c r="C162" s="850"/>
      <c r="D162" s="850"/>
      <c r="E162" s="869"/>
      <c r="F162" s="469"/>
      <c r="G162" s="884" t="s">
        <v>163</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164</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2156</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165</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1</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166</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1</v>
      </c>
    </row>
    <row r="166" spans="1:55" s="266" customFormat="1" ht="21" customHeight="1" thickBot="1">
      <c r="A166" s="265"/>
      <c r="B166" s="858" t="s">
        <v>167</v>
      </c>
      <c r="C166" s="850"/>
      <c r="D166" s="850"/>
      <c r="E166" s="869"/>
      <c r="F166" s="465"/>
      <c r="G166" s="890" t="s">
        <v>168</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169</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2156</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170</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1</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171</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1</v>
      </c>
    </row>
    <row r="170" spans="1:55" s="266" customFormat="1" ht="13.5" customHeight="1" thickBot="1">
      <c r="A170" s="265"/>
      <c r="B170" s="858" t="s">
        <v>172</v>
      </c>
      <c r="C170" s="850"/>
      <c r="D170" s="850"/>
      <c r="E170" s="869"/>
      <c r="F170" s="469"/>
      <c r="G170" s="888" t="s">
        <v>173</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174</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1</v>
      </c>
      <c r="AN171" s="604" t="s">
        <v>2156</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175</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176</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177</v>
      </c>
      <c r="C174" s="850"/>
      <c r="D174" s="850"/>
      <c r="E174" s="869"/>
      <c r="F174" s="469"/>
      <c r="G174" s="888" t="s">
        <v>178</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179</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2156</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180</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181</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182</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913" t="s">
        <v>185</v>
      </c>
      <c r="C181" s="914"/>
      <c r="D181" s="914"/>
      <c r="E181" s="915" t="b">
        <v>0</v>
      </c>
      <c r="F181" s="460"/>
      <c r="G181" s="901" t="s">
        <v>2248</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1</v>
      </c>
      <c r="AN181" s="604" t="s">
        <v>184</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2249</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188</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189</v>
      </c>
      <c r="AF186" s="897"/>
      <c r="AG186" s="897"/>
      <c r="AH186" s="897"/>
      <c r="AI186" s="897"/>
      <c r="AJ186" s="898"/>
      <c r="AK186" s="458" t="str">
        <f>IF(AND(AM187=TRUE,OR(Q20=0,AM188=TRUE),AM189=TRUE,AM190=TRUE,AM191=TRUE,AM192=TRUE),"○","×")</f>
        <v>○</v>
      </c>
      <c r="AL186" s="256"/>
      <c r="AM186" s="624" t="s">
        <v>2157</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190</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192</v>
      </c>
      <c r="AF187" s="904"/>
      <c r="AG187" s="904"/>
      <c r="AH187" s="904"/>
      <c r="AI187" s="904"/>
      <c r="AJ187" s="904"/>
      <c r="AK187" s="905"/>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191</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192</v>
      </c>
      <c r="AF188" s="909"/>
      <c r="AG188" s="909"/>
      <c r="AH188" s="909"/>
      <c r="AI188" s="909"/>
      <c r="AJ188" s="909"/>
      <c r="AK188" s="9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193</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194</v>
      </c>
      <c r="AF189" s="909"/>
      <c r="AG189" s="909"/>
      <c r="AH189" s="909"/>
      <c r="AI189" s="909"/>
      <c r="AJ189" s="909"/>
      <c r="AK189" s="9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195</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196</v>
      </c>
      <c r="AF190" s="927"/>
      <c r="AG190" s="927"/>
      <c r="AH190" s="927"/>
      <c r="AI190" s="927"/>
      <c r="AJ190" s="927"/>
      <c r="AK190" s="928"/>
      <c r="AL190" s="256"/>
      <c r="AM190" s="162" t="b">
        <v>1</v>
      </c>
    </row>
    <row r="191" spans="1:59" s="266" customFormat="1" ht="23.25" customHeight="1">
      <c r="A191" s="265"/>
      <c r="B191" s="469"/>
      <c r="C191" s="911" t="s">
        <v>197</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198</v>
      </c>
      <c r="AF191" s="909"/>
      <c r="AG191" s="909"/>
      <c r="AH191" s="909"/>
      <c r="AI191" s="909"/>
      <c r="AJ191" s="909"/>
      <c r="AK191" s="910"/>
      <c r="AL191" s="256"/>
      <c r="AM191" s="162" t="b">
        <v>1</v>
      </c>
      <c r="AN191" s="483"/>
      <c r="AO191" s="483"/>
      <c r="AP191" s="483"/>
    </row>
    <row r="192" spans="1:59" s="266" customFormat="1" ht="13.5" customHeight="1" thickBot="1">
      <c r="A192" s="265"/>
      <c r="B192" s="473"/>
      <c r="C192" s="929" t="s">
        <v>199</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200</v>
      </c>
      <c r="AF192" s="932"/>
      <c r="AG192" s="932"/>
      <c r="AH192" s="932"/>
      <c r="AI192" s="932"/>
      <c r="AJ192" s="932"/>
      <c r="AK192" s="933"/>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920" t="s">
        <v>2250</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203</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922">
        <v>6</v>
      </c>
      <c r="F200" s="923"/>
      <c r="G200" s="494" t="s">
        <v>80</v>
      </c>
      <c r="H200" s="922" t="s">
        <v>204</v>
      </c>
      <c r="I200" s="923"/>
      <c r="J200" s="494" t="s">
        <v>205</v>
      </c>
      <c r="K200" s="922" t="s">
        <v>204</v>
      </c>
      <c r="L200" s="923"/>
      <c r="M200" s="494" t="s">
        <v>206</v>
      </c>
      <c r="N200" s="482"/>
      <c r="O200" s="924" t="s">
        <v>22</v>
      </c>
      <c r="P200" s="924"/>
      <c r="Q200" s="924"/>
      <c r="R200" s="925" t="str">
        <f>IF(H7="","",H7)</f>
        <v>○○ケアサービス</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207</v>
      </c>
      <c r="P201" s="946"/>
      <c r="Q201" s="946"/>
      <c r="R201" s="947" t="s">
        <v>24</v>
      </c>
      <c r="S201" s="947"/>
      <c r="T201" s="948" t="s">
        <v>25</v>
      </c>
      <c r="U201" s="948"/>
      <c r="V201" s="948"/>
      <c r="W201" s="948"/>
      <c r="X201" s="948"/>
      <c r="Y201" s="949" t="s">
        <v>26</v>
      </c>
      <c r="Z201" s="949"/>
      <c r="AA201" s="948" t="s">
        <v>27</v>
      </c>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211</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212</v>
      </c>
      <c r="C209" s="937" t="s">
        <v>213</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214</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215</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216</v>
      </c>
      <c r="C212" s="940" t="s">
        <v>217</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218</v>
      </c>
      <c r="C213" s="943" t="s">
        <v>219</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220</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212</v>
      </c>
      <c r="C216" s="965" t="s">
        <v>221</v>
      </c>
      <c r="D216" s="966"/>
      <c r="E216" s="966"/>
      <c r="F216" s="966"/>
      <c r="G216" s="966"/>
      <c r="H216" s="966"/>
      <c r="I216" s="967"/>
      <c r="J216" s="958" t="s">
        <v>222</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216</v>
      </c>
      <c r="C217" s="955" t="s">
        <v>223</v>
      </c>
      <c r="D217" s="955"/>
      <c r="E217" s="955"/>
      <c r="F217" s="955"/>
      <c r="G217" s="955"/>
      <c r="H217" s="955"/>
      <c r="I217" s="955"/>
      <c r="J217" s="956" t="s">
        <v>224</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225</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226</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227</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218</v>
      </c>
      <c r="C221" s="955" t="s">
        <v>229</v>
      </c>
      <c r="D221" s="955"/>
      <c r="E221" s="955"/>
      <c r="F221" s="955"/>
      <c r="G221" s="955"/>
      <c r="H221" s="955"/>
      <c r="I221" s="955"/>
      <c r="J221" s="956" t="s">
        <v>230</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231</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955" t="s">
        <v>232</v>
      </c>
      <c r="D223" s="955"/>
      <c r="E223" s="955"/>
      <c r="F223" s="955"/>
      <c r="G223" s="955"/>
      <c r="H223" s="955"/>
      <c r="I223" s="955"/>
      <c r="J223" s="956" t="s">
        <v>233</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IF(AM117="記入不要","",IF(OR(S118="○",AK125="○"),"○","×"))</f>
        <v>○</v>
      </c>
      <c r="AL223" s="256"/>
      <c r="AM223" s="258"/>
    </row>
    <row r="224" spans="1:60" s="266" customFormat="1" ht="36" customHeight="1">
      <c r="A224" s="265"/>
      <c r="B224" s="518" t="s">
        <v>2363</v>
      </c>
      <c r="C224" s="955" t="s">
        <v>234</v>
      </c>
      <c r="D224" s="955"/>
      <c r="E224" s="955"/>
      <c r="F224" s="955"/>
      <c r="G224" s="955"/>
      <c r="H224" s="955"/>
      <c r="I224" s="955"/>
      <c r="J224" s="956" t="s">
        <v>235</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2364</v>
      </c>
      <c r="C225" s="955" t="s">
        <v>237</v>
      </c>
      <c r="D225" s="955"/>
      <c r="E225" s="955"/>
      <c r="F225" s="955"/>
      <c r="G225" s="955"/>
      <c r="H225" s="955"/>
      <c r="I225" s="955"/>
      <c r="J225" s="958" t="s">
        <v>238</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236</v>
      </c>
      <c r="C226" s="955" t="s">
        <v>239</v>
      </c>
      <c r="D226" s="955"/>
      <c r="E226" s="955"/>
      <c r="F226" s="955"/>
      <c r="G226" s="955"/>
      <c r="H226" s="955"/>
      <c r="I226" s="955"/>
      <c r="J226" s="958" t="s">
        <v>240</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241</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242</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32</v>
      </c>
      <c r="C230" s="951" t="s">
        <v>243</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32</v>
      </c>
      <c r="C231" s="953" t="s">
        <v>2251</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po027zZoQxllLQUF+UtuUNsWiFpfzArTw59L6uOwby1c8noYXKFzt+G1QRAgIRAErIO8NSBi8HClU2qtCpXE7g==" saltValue="HGc3KCX5QDxfmhfqUl9aJ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formula1>"令和,平成"</formula1>
    </dataValidation>
    <dataValidation imeMode="hiragana" allowBlank="1" showInputMessage="1" showErrorMessage="1" sqref="X202:X203 T201 U46 T47 T45"/>
    <dataValidation imeMode="halfAlpha" allowBlank="1"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2"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2429</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t="str">
        <f>IFERROR(ROUNDDOWN(ROUND(AM5*AC50,0)*P5,0)*AD53,"")</f>
        <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7"/>
      <c r="AX57" s="1017"/>
      <c r="AY57" s="1017"/>
      <c r="AZ57" s="1017"/>
      <c r="BH57" s="251"/>
      <c r="BJ57" s="251"/>
      <c r="BK57" s="251"/>
      <c r="BL57" s="251"/>
      <c r="BM57" s="251"/>
      <c r="BN57" s="251"/>
      <c r="BO57" s="251"/>
      <c r="BP57" s="251"/>
      <c r="BQ57" s="251"/>
      <c r="BR57" s="251"/>
      <c r="BS57" s="251"/>
      <c r="BT57" s="251"/>
      <c r="BU57" s="251"/>
      <c r="BV57" s="251"/>
      <c r="BW57" s="251"/>
      <c r="BX57" s="251"/>
      <c r="BZ57" s="254"/>
    </row>
    <row r="58" spans="2:82" ht="15.95" customHeight="1">
      <c r="U58" s="1033" t="s">
        <v>2204</v>
      </c>
      <c r="V58" s="1033"/>
      <c r="W58" s="1033"/>
      <c r="X58" s="1033"/>
      <c r="Y58" s="1033"/>
      <c r="Z58" s="527" t="str">
        <f>IF(AND(B9&lt;&gt;"処遇加算なし",F15=4),IF(V24="✓",1,IF(V25="✓",2,IF(V26="✓",3,""))),"")</f>
        <v/>
      </c>
      <c r="AA58" s="245"/>
      <c r="AB58" s="249"/>
      <c r="AC58" s="1033" t="s">
        <v>2204</v>
      </c>
      <c r="AD58" s="1033"/>
      <c r="AE58" s="1033"/>
      <c r="AF58" s="1033"/>
      <c r="AG58" s="1033"/>
      <c r="AH58" s="170">
        <f>IF(AND(F15&lt;&gt;4,F15&lt;&gt;5),0,IF(AU8="○",1,3))</f>
        <v>3</v>
      </c>
      <c r="AI58" s="253"/>
      <c r="AJ58" s="249"/>
      <c r="AK58" s="1033" t="s">
        <v>2204</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33" t="s">
        <v>2205</v>
      </c>
      <c r="V59" s="1033"/>
      <c r="W59" s="1033"/>
      <c r="X59" s="1033"/>
      <c r="Y59" s="1033"/>
      <c r="Z59" s="527" t="str">
        <f>IF(AND(B9&lt;&gt;"処遇加算なし",F15=4),IF(V28="✓",1,IF(V29="✓",2,IF(V30="✓",3,""))),"")</f>
        <v/>
      </c>
      <c r="AA59" s="245"/>
      <c r="AB59" s="249"/>
      <c r="AC59" s="1033" t="s">
        <v>2205</v>
      </c>
      <c r="AD59" s="1033"/>
      <c r="AE59" s="1033"/>
      <c r="AF59" s="1033"/>
      <c r="AG59" s="1033"/>
      <c r="AH59" s="170">
        <f>IF(AND(F15&lt;&gt;4,F15&lt;&gt;5),0,IF(AV8="○",1,3))</f>
        <v>3</v>
      </c>
      <c r="AI59" s="253"/>
      <c r="AJ59" s="249"/>
      <c r="AK59" s="1033" t="s">
        <v>2205</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33" t="s">
        <v>2206</v>
      </c>
      <c r="V60" s="1033"/>
      <c r="W60" s="1033"/>
      <c r="X60" s="1033"/>
      <c r="Y60" s="1033"/>
      <c r="Z60" s="527" t="str">
        <f>IF(AND(B9&lt;&gt;"処遇加算なし",F15=4),IF(V32="✓",1,IF(V33="✓",2,"")),"")</f>
        <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33" t="s">
        <v>2207</v>
      </c>
      <c r="V61" s="1033"/>
      <c r="W61" s="1033"/>
      <c r="X61" s="1033"/>
      <c r="Y61" s="1033"/>
      <c r="Z61" s="527" t="str">
        <f>IF(AND(B9&lt;&gt;"処遇加算なし",F15=4),IF(V36="✓",1,IF(V37="✓",2,"")),"")</f>
        <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H61" s="251"/>
      <c r="BJ61" s="251"/>
      <c r="BK61" s="251"/>
      <c r="BL61" s="251"/>
      <c r="BM61" s="251"/>
      <c r="BN61" s="251"/>
      <c r="BO61" s="251"/>
      <c r="BP61" s="251"/>
      <c r="BQ61" s="251"/>
      <c r="BR61" s="251"/>
      <c r="BS61" s="251"/>
      <c r="BT61" s="251"/>
      <c r="BU61" s="251"/>
      <c r="BV61" s="251"/>
      <c r="BW61" s="251"/>
      <c r="BX61" s="251"/>
      <c r="BZ61" s="254"/>
    </row>
    <row r="62" spans="2:82" ht="15.95" customHeight="1">
      <c r="U62" s="1033" t="s">
        <v>2208</v>
      </c>
      <c r="V62" s="1033"/>
      <c r="W62" s="1033"/>
      <c r="X62" s="1033"/>
      <c r="Y62" s="1033"/>
      <c r="Z62" s="527" t="str">
        <f>IF(AND(B9&lt;&gt;"処遇加算なし",F15=4),IF(V40="✓",1,IF(V41="✓",2,"")),"")</f>
        <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LTOcj4UprvFfJFBO+o1P+n90QBHZTYTOILpxQcVKfR1XI+Ez0IOdbTXQdoybYC1tqJEcuHJCe6p1dV5Wa5kYgQ==" saltValue="ODRK4ISiU9PiIDmdoqRgC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AA11" sqref="AA11:AP12"/>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2430</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176"/>
      <c r="AR2" s="176"/>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202"/>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203" t="s">
        <v>2283</v>
      </c>
      <c r="F15" s="147">
        <v>4</v>
      </c>
      <c r="G15" s="203" t="s">
        <v>2284</v>
      </c>
      <c r="H15" s="1115" t="s">
        <v>2285</v>
      </c>
      <c r="I15" s="1115"/>
      <c r="J15" s="1128"/>
      <c r="K15" s="147">
        <v>7</v>
      </c>
      <c r="L15" s="203" t="s">
        <v>2283</v>
      </c>
      <c r="M15" s="147">
        <v>3</v>
      </c>
      <c r="N15" s="203" t="s">
        <v>2284</v>
      </c>
      <c r="O15" s="203" t="s">
        <v>2286</v>
      </c>
      <c r="P15" s="204">
        <f>(K15*12+M15)-(D15*12+F15)+1</f>
        <v>12</v>
      </c>
      <c r="Q15" s="1115" t="s">
        <v>2287</v>
      </c>
      <c r="R15" s="1115"/>
      <c r="S15" s="205" t="s">
        <v>74</v>
      </c>
      <c r="U15" s="202"/>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219"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219"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219"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219"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219"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219"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219"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219"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219"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219"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219" t="str">
        <f>IFERROR(IF(G9="特定加算なし","✓",""),"")</f>
        <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219"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219" t="str">
        <f>IFERROR(IF(OR(G9="特定加算Ⅱ",G9="特定加算なし"),"✓",""),"")</f>
        <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219"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219"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8"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t="str">
        <f>IFERROR(ROUNDDOWN(ROUND(AM5*AC50,0)*P5,0)*AD53,"")</f>
        <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8" ht="15.95" customHeight="1">
      <c r="U57" s="1005" t="s">
        <v>2203</v>
      </c>
      <c r="V57" s="1005"/>
      <c r="W57" s="1005"/>
      <c r="X57" s="1005"/>
      <c r="Y57" s="1005"/>
      <c r="Z57" s="532"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f>IF(AT8="○",1,0)</f>
        <v>0</v>
      </c>
      <c r="AQ57" s="245"/>
      <c r="AR57" s="245"/>
      <c r="AS57" s="1004"/>
      <c r="AT57" s="1004"/>
      <c r="AU57" s="1004"/>
      <c r="AV57" s="1004"/>
      <c r="AW57" s="1017"/>
      <c r="AX57" s="1017"/>
      <c r="AY57" s="1017"/>
      <c r="AZ57" s="1017"/>
      <c r="BP57" s="251"/>
      <c r="BR57" s="251"/>
      <c r="BS57" s="251"/>
      <c r="BT57" s="251"/>
      <c r="BU57" s="251"/>
      <c r="BV57" s="251"/>
      <c r="BW57" s="251"/>
      <c r="BX57" s="251"/>
      <c r="BY57" s="251"/>
      <c r="BZ57" s="251"/>
      <c r="CA57" s="251"/>
      <c r="CB57" s="251"/>
      <c r="CC57" s="251"/>
      <c r="CD57" s="251"/>
      <c r="CE57" s="251"/>
      <c r="CF57" s="251"/>
      <c r="CH57" s="254"/>
    </row>
    <row r="58" spans="2:88" ht="15.95" customHeight="1">
      <c r="U58" s="1033" t="s">
        <v>2204</v>
      </c>
      <c r="V58" s="1033"/>
      <c r="W58" s="1033"/>
      <c r="X58" s="1033"/>
      <c r="Y58" s="1033"/>
      <c r="Z58" s="532" t="str">
        <f>IF(AND(B9&lt;&gt;"処遇加算なし",F15=4),IF(V24="✓",1,IF(V25="✓",2,IF(V26="✓",3,""))),"")</f>
        <v/>
      </c>
      <c r="AA58" s="245"/>
      <c r="AB58" s="249"/>
      <c r="AC58" s="1033" t="s">
        <v>2204</v>
      </c>
      <c r="AD58" s="1033"/>
      <c r="AE58" s="1033"/>
      <c r="AF58" s="1033"/>
      <c r="AG58" s="1033"/>
      <c r="AH58" s="170">
        <f>IF(AND(F15&lt;&gt;4,F15&lt;&gt;5),0,IF(AU8="○",1,3))</f>
        <v>3</v>
      </c>
      <c r="AI58" s="253"/>
      <c r="AJ58" s="249"/>
      <c r="AK58" s="1033" t="s">
        <v>2204</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33" t="s">
        <v>2205</v>
      </c>
      <c r="V59" s="1033"/>
      <c r="W59" s="1033"/>
      <c r="X59" s="1033"/>
      <c r="Y59" s="1033"/>
      <c r="Z59" s="532" t="str">
        <f>IF(AND(B9&lt;&gt;"処遇加算なし",F15=4),IF(V28="✓",1,IF(V29="✓",2,IF(V30="✓",3,""))),"")</f>
        <v/>
      </c>
      <c r="AA59" s="245"/>
      <c r="AB59" s="249"/>
      <c r="AC59" s="1033" t="s">
        <v>2205</v>
      </c>
      <c r="AD59" s="1033"/>
      <c r="AE59" s="1033"/>
      <c r="AF59" s="1033"/>
      <c r="AG59" s="1033"/>
      <c r="AH59" s="170">
        <f>IF(AND(F15&lt;&gt;4,F15&lt;&gt;5),0,IF(AV8="○",1,3))</f>
        <v>3</v>
      </c>
      <c r="AI59" s="253"/>
      <c r="AJ59" s="249"/>
      <c r="AK59" s="1033" t="s">
        <v>2205</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33" t="s">
        <v>2206</v>
      </c>
      <c r="V60" s="1033"/>
      <c r="W60" s="1033"/>
      <c r="X60" s="1033"/>
      <c r="Y60" s="1033"/>
      <c r="Z60" s="532" t="str">
        <f>IF(AND(B9&lt;&gt;"処遇加算なし",F15=4),IF(V32="✓",1,IF(V33="✓",2,"")),"")</f>
        <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33" t="s">
        <v>2207</v>
      </c>
      <c r="V61" s="1033"/>
      <c r="W61" s="1033"/>
      <c r="X61" s="1033"/>
      <c r="Y61" s="1033"/>
      <c r="Z61" s="532" t="str">
        <f>IF(AND(B9&lt;&gt;"処遇加算なし",F15=4),IF(V36="✓",1,IF(V37="✓",2,"")),"")</f>
        <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P61" s="251"/>
      <c r="BR61" s="251"/>
      <c r="BS61" s="251"/>
      <c r="BT61" s="251"/>
      <c r="BU61" s="251"/>
      <c r="BV61" s="251"/>
      <c r="BW61" s="251"/>
      <c r="BX61" s="251"/>
      <c r="BY61" s="251"/>
      <c r="BZ61" s="251"/>
      <c r="CA61" s="251"/>
      <c r="CB61" s="251"/>
      <c r="CC61" s="251"/>
      <c r="CD61" s="251"/>
      <c r="CE61" s="251"/>
      <c r="CF61" s="251"/>
      <c r="CH61" s="254"/>
    </row>
    <row r="62" spans="2:88" ht="15.95" customHeight="1">
      <c r="U62" s="1033" t="s">
        <v>2208</v>
      </c>
      <c r="V62" s="1033"/>
      <c r="W62" s="1033"/>
      <c r="X62" s="1033"/>
      <c r="Y62" s="1033"/>
      <c r="Z62" s="532" t="str">
        <f>IF(AND(B9&lt;&gt;"処遇加算なし",F15=4),IF(V40="✓",1,IF(V41="✓",2,"")),"")</f>
        <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2209</v>
      </c>
      <c r="V63" s="1005"/>
      <c r="W63" s="1005"/>
      <c r="X63" s="1005"/>
      <c r="Y63" s="1005"/>
      <c r="Z63" s="532"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NGi1cz3zTNdIGwHqe8oNNv/QFWpkW16/qP1cvglAz5i+Rjc2MDc4tmXylmPijhUfEoH2QP6sxDU2bk8cztiYw==" saltValue="oM+sdK/rq2poAIHalgxaow=="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247</v>
      </c>
      <c r="B1" s="5"/>
      <c r="C1" s="5"/>
      <c r="D1" s="5"/>
      <c r="E1" s="5"/>
      <c r="AD1" s="7"/>
      <c r="AE1" s="5" t="s">
        <v>2281</v>
      </c>
      <c r="AJ1" s="6" t="s">
        <v>248</v>
      </c>
      <c r="AM1" s="6" t="s">
        <v>249</v>
      </c>
      <c r="AO1" s="8" t="s">
        <v>250</v>
      </c>
      <c r="AQ1" s="5" t="s">
        <v>251</v>
      </c>
    </row>
    <row r="2" spans="1:46" ht="36.75" customHeight="1">
      <c r="A2" s="1185" t="s">
        <v>253</v>
      </c>
      <c r="B2" s="1188" t="s">
        <v>254</v>
      </c>
      <c r="C2" s="1189"/>
      <c r="D2" s="1189"/>
      <c r="E2" s="1190"/>
      <c r="F2" s="1191" t="s">
        <v>255</v>
      </c>
      <c r="G2" s="1192"/>
      <c r="H2" s="1193"/>
      <c r="I2" s="1185" t="s">
        <v>256</v>
      </c>
      <c r="J2" s="1194"/>
      <c r="K2" s="1196" t="s">
        <v>257</v>
      </c>
      <c r="L2" s="1197"/>
      <c r="M2" s="1197"/>
      <c r="N2" s="1197"/>
      <c r="O2" s="1197"/>
      <c r="P2" s="1197"/>
      <c r="Q2" s="1197"/>
      <c r="R2" s="1197"/>
      <c r="S2" s="1197"/>
      <c r="T2" s="1197"/>
      <c r="U2" s="1197"/>
      <c r="V2" s="1197"/>
      <c r="W2" s="1197"/>
      <c r="X2" s="1197"/>
      <c r="Y2" s="1197"/>
      <c r="Z2" s="1197"/>
      <c r="AA2" s="1197"/>
      <c r="AB2" s="1198"/>
      <c r="AC2" s="1182" t="s">
        <v>258</v>
      </c>
      <c r="AD2" s="7"/>
      <c r="AE2" s="1185" t="s">
        <v>253</v>
      </c>
      <c r="AF2" s="1185" t="s">
        <v>2269</v>
      </c>
      <c r="AG2" s="1205"/>
      <c r="AH2" s="1194"/>
      <c r="AJ2" s="9" t="s">
        <v>260</v>
      </c>
      <c r="AK2" s="10" t="s">
        <v>260</v>
      </c>
      <c r="AM2" s="11" t="s">
        <v>204</v>
      </c>
      <c r="AO2" s="11" t="s">
        <v>18</v>
      </c>
      <c r="AQ2" s="12" t="s">
        <v>261</v>
      </c>
      <c r="AS2" s="1210" t="s">
        <v>2146</v>
      </c>
      <c r="AT2" s="1213" t="s">
        <v>259</v>
      </c>
    </row>
    <row r="3" spans="1:46" ht="51.75" customHeight="1" thickBot="1">
      <c r="A3" s="1186"/>
      <c r="B3" s="1199" t="s">
        <v>263</v>
      </c>
      <c r="C3" s="1200"/>
      <c r="D3" s="1200"/>
      <c r="E3" s="1201"/>
      <c r="F3" s="1199" t="s">
        <v>264</v>
      </c>
      <c r="G3" s="1200"/>
      <c r="H3" s="1201"/>
      <c r="I3" s="1187"/>
      <c r="J3" s="1195"/>
      <c r="K3" s="1202" t="s">
        <v>265</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266</v>
      </c>
      <c r="AK3" s="14" t="s">
        <v>266</v>
      </c>
      <c r="AM3" s="15"/>
      <c r="AO3" s="15"/>
      <c r="AQ3" s="16" t="s">
        <v>20</v>
      </c>
      <c r="AS3" s="1211"/>
      <c r="AT3" s="1214"/>
    </row>
    <row r="4" spans="1:46" ht="41.25" customHeight="1" thickBot="1">
      <c r="A4" s="1187"/>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84"/>
      <c r="AD4" s="7"/>
      <c r="AE4" s="1187"/>
      <c r="AF4" s="1186"/>
      <c r="AG4" s="1206"/>
      <c r="AH4" s="1207"/>
      <c r="AJ4" s="13" t="s">
        <v>277</v>
      </c>
      <c r="AK4" s="14" t="s">
        <v>277</v>
      </c>
      <c r="AQ4" s="16" t="s">
        <v>273</v>
      </c>
      <c r="AS4" s="1212"/>
      <c r="AT4" s="121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9.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9.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9.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9.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9.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9.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2279</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2280</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7" t="s">
        <v>254</v>
      </c>
      <c r="C3" s="1216" t="s">
        <v>255</v>
      </c>
      <c r="D3" s="1216" t="s">
        <v>256</v>
      </c>
      <c r="E3" s="1216" t="s">
        <v>262</v>
      </c>
      <c r="F3" s="1218" t="s">
        <v>2215</v>
      </c>
      <c r="G3" s="1216" t="s">
        <v>2260</v>
      </c>
      <c r="H3" s="1216"/>
      <c r="I3" s="1216" t="s">
        <v>2261</v>
      </c>
      <c r="J3" s="1216"/>
      <c r="K3" s="1216" t="s">
        <v>2262</v>
      </c>
      <c r="L3" s="1216"/>
      <c r="M3" s="1221" t="s">
        <v>2185</v>
      </c>
      <c r="N3" s="1221" t="s">
        <v>2186</v>
      </c>
      <c r="O3" s="1221" t="s">
        <v>2187</v>
      </c>
      <c r="P3" s="1221" t="s">
        <v>2188</v>
      </c>
      <c r="Q3" s="1221" t="s">
        <v>2189</v>
      </c>
      <c r="R3" s="1221" t="s">
        <v>2190</v>
      </c>
      <c r="S3" s="1221" t="s">
        <v>2191</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2192</v>
      </c>
      <c r="R25" s="103" t="s">
        <v>2193</v>
      </c>
      <c r="S25" s="103" t="s">
        <v>2192</v>
      </c>
    </row>
  </sheetData>
  <autoFilter ref="B5:S23">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313</v>
      </c>
      <c r="C1" s="1" t="s">
        <v>314</v>
      </c>
      <c r="F1" s="1" t="s">
        <v>315</v>
      </c>
    </row>
    <row r="2" spans="1:14" ht="19.5" thickBot="1">
      <c r="A2" s="65" t="s">
        <v>316</v>
      </c>
      <c r="C2" s="66" t="s">
        <v>317</v>
      </c>
      <c r="D2" s="67" t="s">
        <v>318</v>
      </c>
      <c r="F2" s="68" t="s">
        <v>319</v>
      </c>
      <c r="G2" s="69">
        <v>0.7</v>
      </c>
      <c r="H2" s="69">
        <v>0.55000000000000004</v>
      </c>
      <c r="I2" s="70">
        <v>0.45</v>
      </c>
      <c r="J2" s="66" t="s">
        <v>320</v>
      </c>
      <c r="K2" s="67" t="s">
        <v>321</v>
      </c>
    </row>
    <row r="3" spans="1:14" ht="18.75">
      <c r="A3" s="71" t="s">
        <v>322</v>
      </c>
      <c r="C3" s="72" t="s">
        <v>322</v>
      </c>
      <c r="D3" s="73" t="s">
        <v>323</v>
      </c>
      <c r="F3" s="72" t="s">
        <v>324</v>
      </c>
      <c r="G3" s="74">
        <v>11.4</v>
      </c>
      <c r="H3" s="74">
        <v>11.1</v>
      </c>
      <c r="I3" s="75">
        <v>10.9</v>
      </c>
      <c r="J3" s="72" t="s">
        <v>260</v>
      </c>
      <c r="K3" s="76">
        <v>0.7</v>
      </c>
      <c r="M3" s="126"/>
      <c r="N3" s="126"/>
    </row>
    <row r="4" spans="1:14" ht="18.75">
      <c r="A4" s="16" t="s">
        <v>325</v>
      </c>
      <c r="C4" s="77" t="s">
        <v>322</v>
      </c>
      <c r="D4" s="78" t="s">
        <v>326</v>
      </c>
      <c r="F4" s="77" t="s">
        <v>327</v>
      </c>
      <c r="G4" s="79">
        <v>11.4</v>
      </c>
      <c r="H4" s="79">
        <v>11.1</v>
      </c>
      <c r="I4" s="80">
        <v>10.9</v>
      </c>
      <c r="J4" s="77" t="s">
        <v>280</v>
      </c>
      <c r="K4" s="81">
        <v>0.7</v>
      </c>
      <c r="M4" s="126"/>
      <c r="N4" s="126"/>
    </row>
    <row r="5" spans="1:14" ht="18.75">
      <c r="A5" s="16" t="s">
        <v>328</v>
      </c>
      <c r="C5" s="77" t="s">
        <v>322</v>
      </c>
      <c r="D5" s="78" t="s">
        <v>329</v>
      </c>
      <c r="F5" s="77" t="s">
        <v>330</v>
      </c>
      <c r="G5" s="79">
        <v>11.4</v>
      </c>
      <c r="H5" s="79">
        <v>11.1</v>
      </c>
      <c r="I5" s="80">
        <v>10.9</v>
      </c>
      <c r="J5" s="77" t="s">
        <v>283</v>
      </c>
      <c r="K5" s="81">
        <v>0.7</v>
      </c>
      <c r="M5" s="126"/>
      <c r="N5" s="126"/>
    </row>
    <row r="6" spans="1:14" ht="18.75">
      <c r="A6" s="16" t="s">
        <v>331</v>
      </c>
      <c r="C6" s="77" t="s">
        <v>322</v>
      </c>
      <c r="D6" s="78" t="s">
        <v>332</v>
      </c>
      <c r="F6" s="77" t="s">
        <v>333</v>
      </c>
      <c r="G6" s="79">
        <v>11.4</v>
      </c>
      <c r="H6" s="79">
        <v>11.1</v>
      </c>
      <c r="I6" s="80">
        <v>10.9</v>
      </c>
      <c r="J6" s="77" t="s">
        <v>278</v>
      </c>
      <c r="K6" s="81">
        <v>0.7</v>
      </c>
      <c r="M6" s="126"/>
      <c r="N6" s="126"/>
    </row>
    <row r="7" spans="1:14" ht="18.75">
      <c r="A7" s="16" t="s">
        <v>334</v>
      </c>
      <c r="C7" s="77" t="s">
        <v>322</v>
      </c>
      <c r="D7" s="78" t="s">
        <v>335</v>
      </c>
      <c r="F7" s="77" t="s">
        <v>336</v>
      </c>
      <c r="G7" s="79">
        <v>11.4</v>
      </c>
      <c r="H7" s="79">
        <v>11.1</v>
      </c>
      <c r="I7" s="80">
        <v>10.9</v>
      </c>
      <c r="J7" s="77" t="s">
        <v>281</v>
      </c>
      <c r="K7" s="81">
        <v>0.45</v>
      </c>
      <c r="M7" s="126"/>
      <c r="N7" s="126"/>
    </row>
    <row r="8" spans="1:14" ht="18.75">
      <c r="A8" s="16" t="s">
        <v>337</v>
      </c>
      <c r="C8" s="77" t="s">
        <v>322</v>
      </c>
      <c r="D8" s="78" t="s">
        <v>338</v>
      </c>
      <c r="F8" s="77" t="s">
        <v>339</v>
      </c>
      <c r="G8" s="79">
        <v>11.4</v>
      </c>
      <c r="H8" s="79">
        <v>11.1</v>
      </c>
      <c r="I8" s="80">
        <v>10.9</v>
      </c>
      <c r="J8" s="77" t="s">
        <v>284</v>
      </c>
      <c r="K8" s="81">
        <v>0.45</v>
      </c>
    </row>
    <row r="9" spans="1:14" ht="18.75">
      <c r="A9" s="16" t="s">
        <v>340</v>
      </c>
      <c r="C9" s="77" t="s">
        <v>322</v>
      </c>
      <c r="D9" s="78" t="s">
        <v>341</v>
      </c>
      <c r="F9" s="77" t="s">
        <v>342</v>
      </c>
      <c r="G9" s="79">
        <v>11.4</v>
      </c>
      <c r="H9" s="79">
        <v>11.1</v>
      </c>
      <c r="I9" s="80">
        <v>10.9</v>
      </c>
      <c r="J9" s="77" t="s">
        <v>285</v>
      </c>
      <c r="K9" s="81">
        <v>0.55000000000000004</v>
      </c>
    </row>
    <row r="10" spans="1:14" ht="18.75">
      <c r="A10" s="16" t="s">
        <v>343</v>
      </c>
      <c r="C10" s="77" t="s">
        <v>322</v>
      </c>
      <c r="D10" s="78" t="s">
        <v>344</v>
      </c>
      <c r="F10" s="77" t="s">
        <v>345</v>
      </c>
      <c r="G10" s="79">
        <v>11.4</v>
      </c>
      <c r="H10" s="79">
        <v>11.1</v>
      </c>
      <c r="I10" s="80">
        <v>10.9</v>
      </c>
      <c r="J10" s="77" t="s">
        <v>287</v>
      </c>
      <c r="K10" s="81">
        <v>0.45</v>
      </c>
    </row>
    <row r="11" spans="1:14" ht="18.75">
      <c r="A11" s="16" t="s">
        <v>346</v>
      </c>
      <c r="C11" s="77" t="s">
        <v>322</v>
      </c>
      <c r="D11" s="78" t="s">
        <v>347</v>
      </c>
      <c r="F11" s="77" t="s">
        <v>348</v>
      </c>
      <c r="G11" s="79">
        <v>11.4</v>
      </c>
      <c r="H11" s="79">
        <v>11.1</v>
      </c>
      <c r="I11" s="80">
        <v>10.9</v>
      </c>
      <c r="J11" s="77" t="s">
        <v>289</v>
      </c>
      <c r="K11" s="81">
        <v>0.45</v>
      </c>
    </row>
    <row r="12" spans="1:14" ht="18.75">
      <c r="A12" s="16" t="s">
        <v>349</v>
      </c>
      <c r="C12" s="77" t="s">
        <v>322</v>
      </c>
      <c r="D12" s="78" t="s">
        <v>350</v>
      </c>
      <c r="F12" s="77" t="s">
        <v>351</v>
      </c>
      <c r="G12" s="79">
        <v>11.4</v>
      </c>
      <c r="H12" s="79">
        <v>11.1</v>
      </c>
      <c r="I12" s="80">
        <v>10.9</v>
      </c>
      <c r="J12" s="77" t="s">
        <v>290</v>
      </c>
      <c r="K12" s="81">
        <v>0.55000000000000004</v>
      </c>
    </row>
    <row r="13" spans="1:14" ht="18.75">
      <c r="A13" s="16" t="s">
        <v>352</v>
      </c>
      <c r="C13" s="77" t="s">
        <v>322</v>
      </c>
      <c r="D13" s="78" t="s">
        <v>353</v>
      </c>
      <c r="F13" s="77" t="s">
        <v>354</v>
      </c>
      <c r="G13" s="79">
        <v>11.4</v>
      </c>
      <c r="H13" s="79">
        <v>11.1</v>
      </c>
      <c r="I13" s="80">
        <v>10.9</v>
      </c>
      <c r="J13" s="77" t="s">
        <v>292</v>
      </c>
      <c r="K13" s="81">
        <v>0.55000000000000004</v>
      </c>
    </row>
    <row r="14" spans="1:14" ht="18.75">
      <c r="A14" s="16" t="s">
        <v>355</v>
      </c>
      <c r="C14" s="77" t="s">
        <v>322</v>
      </c>
      <c r="D14" s="78" t="s">
        <v>356</v>
      </c>
      <c r="F14" s="77" t="s">
        <v>357</v>
      </c>
      <c r="G14" s="79">
        <v>11.4</v>
      </c>
      <c r="H14" s="79">
        <v>11.1</v>
      </c>
      <c r="I14" s="80">
        <v>10.9</v>
      </c>
      <c r="J14" s="77" t="s">
        <v>294</v>
      </c>
      <c r="K14" s="81">
        <v>0.55000000000000004</v>
      </c>
    </row>
    <row r="15" spans="1:14" ht="18.75">
      <c r="A15" s="16" t="s">
        <v>5</v>
      </c>
      <c r="C15" s="77" t="s">
        <v>322</v>
      </c>
      <c r="D15" s="78" t="s">
        <v>358</v>
      </c>
      <c r="F15" s="77" t="s">
        <v>359</v>
      </c>
      <c r="G15" s="79">
        <v>11.4</v>
      </c>
      <c r="H15" s="79">
        <v>11.1</v>
      </c>
      <c r="I15" s="80">
        <v>10.9</v>
      </c>
      <c r="J15" s="77" t="s">
        <v>295</v>
      </c>
      <c r="K15" s="81">
        <v>0.45</v>
      </c>
    </row>
    <row r="16" spans="1:14" ht="18.75">
      <c r="A16" s="16" t="s">
        <v>360</v>
      </c>
      <c r="C16" s="77" t="s">
        <v>322</v>
      </c>
      <c r="D16" s="78" t="s">
        <v>361</v>
      </c>
      <c r="F16" s="77" t="s">
        <v>362</v>
      </c>
      <c r="G16" s="79">
        <v>11.4</v>
      </c>
      <c r="H16" s="79">
        <v>11.1</v>
      </c>
      <c r="I16" s="80">
        <v>10.9</v>
      </c>
      <c r="J16" s="77" t="s">
        <v>297</v>
      </c>
      <c r="K16" s="81">
        <v>0.45</v>
      </c>
    </row>
    <row r="17" spans="1:11" ht="18.75">
      <c r="A17" s="16" t="s">
        <v>363</v>
      </c>
      <c r="C17" s="77" t="s">
        <v>322</v>
      </c>
      <c r="D17" s="78" t="s">
        <v>364</v>
      </c>
      <c r="F17" s="77" t="s">
        <v>365</v>
      </c>
      <c r="G17" s="79">
        <v>11.4</v>
      </c>
      <c r="H17" s="79">
        <v>11.1</v>
      </c>
      <c r="I17" s="80">
        <v>10.9</v>
      </c>
      <c r="J17" s="77" t="s">
        <v>298</v>
      </c>
      <c r="K17" s="81">
        <v>0.45</v>
      </c>
    </row>
    <row r="18" spans="1:11" ht="18.75">
      <c r="A18" s="16" t="s">
        <v>366</v>
      </c>
      <c r="C18" s="77" t="s">
        <v>322</v>
      </c>
      <c r="D18" s="78" t="s">
        <v>367</v>
      </c>
      <c r="F18" s="77" t="s">
        <v>368</v>
      </c>
      <c r="G18" s="79">
        <v>11.4</v>
      </c>
      <c r="H18" s="79">
        <v>11.1</v>
      </c>
      <c r="I18" s="80">
        <v>10.9</v>
      </c>
      <c r="J18" s="77" t="s">
        <v>299</v>
      </c>
      <c r="K18" s="81">
        <v>0.55000000000000004</v>
      </c>
    </row>
    <row r="19" spans="1:11" ht="18.75">
      <c r="A19" s="16" t="s">
        <v>369</v>
      </c>
      <c r="C19" s="77" t="s">
        <v>322</v>
      </c>
      <c r="D19" s="78" t="s">
        <v>370</v>
      </c>
      <c r="F19" s="77" t="s">
        <v>371</v>
      </c>
      <c r="G19" s="79">
        <v>11.4</v>
      </c>
      <c r="H19" s="79">
        <v>11.1</v>
      </c>
      <c r="I19" s="80">
        <v>10.9</v>
      </c>
      <c r="J19" s="77" t="s">
        <v>301</v>
      </c>
      <c r="K19" s="81">
        <v>0.45</v>
      </c>
    </row>
    <row r="20" spans="1:11" ht="18.75">
      <c r="A20" s="16" t="s">
        <v>372</v>
      </c>
      <c r="C20" s="77" t="s">
        <v>322</v>
      </c>
      <c r="D20" s="78" t="s">
        <v>373</v>
      </c>
      <c r="F20" s="77" t="s">
        <v>374</v>
      </c>
      <c r="G20" s="79">
        <v>11.4</v>
      </c>
      <c r="H20" s="79">
        <v>11.1</v>
      </c>
      <c r="I20" s="80">
        <v>10.9</v>
      </c>
      <c r="J20" s="77" t="s">
        <v>302</v>
      </c>
      <c r="K20" s="81">
        <v>0.45</v>
      </c>
    </row>
    <row r="21" spans="1:11" ht="18.75">
      <c r="A21" s="16" t="s">
        <v>375</v>
      </c>
      <c r="C21" s="77" t="s">
        <v>322</v>
      </c>
      <c r="D21" s="78" t="s">
        <v>376</v>
      </c>
      <c r="F21" s="77" t="s">
        <v>377</v>
      </c>
      <c r="G21" s="79">
        <v>11.4</v>
      </c>
      <c r="H21" s="79">
        <v>11.1</v>
      </c>
      <c r="I21" s="80">
        <v>10.9</v>
      </c>
      <c r="J21" s="77" t="s">
        <v>378</v>
      </c>
      <c r="K21" s="81">
        <v>0.45</v>
      </c>
    </row>
    <row r="22" spans="1:11" ht="18.75">
      <c r="A22" s="16" t="s">
        <v>379</v>
      </c>
      <c r="C22" s="77" t="s">
        <v>322</v>
      </c>
      <c r="D22" s="78" t="s">
        <v>380</v>
      </c>
      <c r="F22" s="77" t="s">
        <v>381</v>
      </c>
      <c r="G22" s="79">
        <v>11.4</v>
      </c>
      <c r="H22" s="79">
        <v>11.1</v>
      </c>
      <c r="I22" s="80">
        <v>10.9</v>
      </c>
      <c r="J22" s="77" t="s">
        <v>304</v>
      </c>
      <c r="K22" s="81">
        <v>0.45</v>
      </c>
    </row>
    <row r="23" spans="1:11" ht="18.75">
      <c r="A23" s="16" t="s">
        <v>382</v>
      </c>
      <c r="C23" s="77" t="s">
        <v>322</v>
      </c>
      <c r="D23" s="78" t="s">
        <v>383</v>
      </c>
      <c r="F23" s="77" t="s">
        <v>384</v>
      </c>
      <c r="G23" s="79">
        <v>11.4</v>
      </c>
      <c r="H23" s="79">
        <v>11.1</v>
      </c>
      <c r="I23" s="80">
        <v>10.9</v>
      </c>
      <c r="J23" s="77" t="s">
        <v>306</v>
      </c>
      <c r="K23" s="81">
        <v>0.45</v>
      </c>
    </row>
    <row r="24" spans="1:11" ht="19.5" thickBot="1">
      <c r="A24" s="16" t="s">
        <v>385</v>
      </c>
      <c r="C24" s="77" t="s">
        <v>322</v>
      </c>
      <c r="D24" s="78" t="s">
        <v>386</v>
      </c>
      <c r="F24" s="77" t="s">
        <v>387</v>
      </c>
      <c r="G24" s="79">
        <v>11.4</v>
      </c>
      <c r="H24" s="79">
        <v>11.1</v>
      </c>
      <c r="I24" s="80">
        <v>10.9</v>
      </c>
      <c r="J24" s="136" t="s">
        <v>307</v>
      </c>
      <c r="K24" s="137">
        <v>0.45</v>
      </c>
    </row>
    <row r="25" spans="1:11" ht="18.75">
      <c r="A25" s="16" t="s">
        <v>388</v>
      </c>
      <c r="C25" s="77" t="s">
        <v>322</v>
      </c>
      <c r="D25" s="78" t="s">
        <v>389</v>
      </c>
      <c r="F25" s="77" t="s">
        <v>390</v>
      </c>
      <c r="G25" s="79">
        <v>11.4</v>
      </c>
      <c r="H25" s="79">
        <v>11.1</v>
      </c>
      <c r="I25" s="80">
        <v>10.9</v>
      </c>
      <c r="J25" s="72" t="s">
        <v>309</v>
      </c>
      <c r="K25" s="76">
        <v>0.7</v>
      </c>
    </row>
    <row r="26" spans="1:11" ht="19.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25"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4.2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4.25" thickBot="1">
      <c r="C1749" s="84" t="s">
        <v>460</v>
      </c>
      <c r="D1749" s="85" t="s">
        <v>2145</v>
      </c>
    </row>
  </sheetData>
  <phoneticPr fontId="6"/>
  <dataValidations count="1">
    <dataValidation type="list" allowBlank="1" showInputMessage="1" showErrorMessage="1" sqref="M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topLeftCell="A13"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2291</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東京都</v>
      </c>
      <c r="AJ1" s="1177"/>
      <c r="AK1" s="1177"/>
      <c r="AL1" s="1177"/>
      <c r="AM1" s="1177"/>
      <c r="AN1" s="1177"/>
      <c r="AO1" s="1177"/>
      <c r="AP1" s="1177"/>
      <c r="AS1" s="1001" t="str">
        <f>B9&amp;G9&amp;L9</f>
        <v>処遇加算Ⅰ特定加算Ⅱベア加算なし</v>
      </c>
      <c r="AT1" s="1002"/>
      <c r="AU1" s="1002"/>
      <c r="AV1" s="1002"/>
      <c r="AW1" s="1002"/>
      <c r="AX1" s="1002"/>
      <c r="AY1" s="1002"/>
      <c r="AZ1" s="1002"/>
      <c r="BA1" s="1002"/>
      <c r="BB1" s="1002"/>
      <c r="BC1" s="1002"/>
      <c r="BD1" s="1002"/>
      <c r="BE1" s="1003"/>
      <c r="BF1" s="1000" t="str">
        <f>IFERROR(VLOOKUP(Y5,【参考】数式用!$AJ$2:$AK$24,2,FALSE),"")</f>
        <v>訪問介護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176"/>
      <c r="AR2" s="176"/>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0">
        <v>1334567890</v>
      </c>
      <c r="C5" s="1080"/>
      <c r="D5" s="1080"/>
      <c r="E5" s="1080"/>
      <c r="F5" s="1080"/>
      <c r="G5" s="1081" t="s">
        <v>4</v>
      </c>
      <c r="H5" s="1081"/>
      <c r="I5" s="1081"/>
      <c r="J5" s="1082" t="s">
        <v>5</v>
      </c>
      <c r="K5" s="1082"/>
      <c r="L5" s="1082"/>
      <c r="M5" s="1083" t="s">
        <v>6</v>
      </c>
      <c r="N5" s="1083"/>
      <c r="O5" s="1083"/>
      <c r="P5" s="1084">
        <f>IF(Y5="","",IFERROR(INDEX(【参考】数式用3!$G$3:$I$451,MATCH(M5,【参考】数式用3!$F$3:$F$451,0),MATCH(VLOOKUP(Y5,【参考】数式用3!$J$2:$K$26,2,FALSE),【参考】数式用3!$G$2:$I$2,0)),10))</f>
        <v>11.4</v>
      </c>
      <c r="Q5" s="1085"/>
      <c r="R5" s="1085"/>
      <c r="S5" s="1086" t="s">
        <v>7</v>
      </c>
      <c r="T5" s="1087"/>
      <c r="U5" s="1087"/>
      <c r="V5" s="1087"/>
      <c r="W5" s="1087"/>
      <c r="X5" s="1088"/>
      <c r="Y5" s="1070" t="s">
        <v>260</v>
      </c>
      <c r="Z5" s="1070"/>
      <c r="AA5" s="1070"/>
      <c r="AB5" s="1070"/>
      <c r="AC5" s="1070"/>
      <c r="AD5" s="1070"/>
      <c r="AE5" s="1038">
        <v>225000</v>
      </c>
      <c r="AF5" s="1039"/>
      <c r="AG5" s="1039"/>
      <c r="AH5" s="1040"/>
      <c r="AI5" s="1038">
        <v>40000</v>
      </c>
      <c r="AJ5" s="1039"/>
      <c r="AK5" s="1039"/>
      <c r="AL5" s="1040"/>
      <c r="AM5" s="1041">
        <f>AE5-AI5</f>
        <v>185000</v>
      </c>
      <c r="AN5" s="1042"/>
      <c r="AO5" s="1042"/>
      <c r="AP5" s="1043"/>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新加算Ⅱ</v>
      </c>
      <c r="W8" s="1052"/>
      <c r="X8" s="1052"/>
      <c r="Y8" s="1052"/>
      <c r="Z8" s="1053"/>
      <c r="AA8" s="1034" t="str">
        <f>IFERROR(VLOOKUP(AS1,【参考】数式用2!E6:L23,4,FALSE),"")</f>
        <v>補助金を取得する場合、４月からベア加算の算定が必要。その場合、６月以降は自然と新加算Ⅱに移行可能。</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6" t="str">
        <f>IF(OR(V8="新加算Ⅰ",V8="新加算Ⅱ",V8="新加算Ⅲ",V8="新加算Ⅴ(１)",V8="新加算Ⅴ(３)",V8="新加算Ⅴ(８)"),"○","")</f>
        <v>○</v>
      </c>
      <c r="AX8" s="1166" t="str">
        <f>IF(OR(V8="新加算Ⅰ",V8="新加算Ⅱ",V8="新加算Ⅴ(１)",V8="新加算Ⅴ(２)",V8="新加算Ⅴ(３)",V8="新加算Ⅴ(４)",V8="新加算Ⅴ(５)",V8="新加算Ⅴ(６)",V8="新加算Ⅴ(７)",V8="新加算Ⅴ(９)",V8="新加算Ⅴ(10)",V8="新加算Ⅴ(12)"),"○","")</f>
        <v>○</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v>
      </c>
      <c r="BA8" s="184"/>
      <c r="CE8" s="1169" t="s">
        <v>2388</v>
      </c>
      <c r="CF8" s="1169"/>
      <c r="CG8" s="1169"/>
      <c r="CH8" s="1169"/>
      <c r="CI8" s="979" t="str">
        <f>IF(AND(AP62=1,AL41=""),1,"")</f>
        <v/>
      </c>
      <c r="CJ8" s="980"/>
    </row>
    <row r="9" spans="1:88" ht="26.25" customHeight="1">
      <c r="B9" s="1094" t="s">
        <v>9</v>
      </c>
      <c r="C9" s="1095"/>
      <c r="D9" s="1095"/>
      <c r="E9" s="1095"/>
      <c r="F9" s="1096"/>
      <c r="G9" s="1097" t="s">
        <v>10</v>
      </c>
      <c r="H9" s="1098"/>
      <c r="I9" s="1098"/>
      <c r="J9" s="1098"/>
      <c r="K9" s="1099"/>
      <c r="L9" s="1100" t="s">
        <v>11</v>
      </c>
      <c r="M9" s="1101"/>
      <c r="N9" s="1101"/>
      <c r="O9" s="1101"/>
      <c r="P9" s="1102"/>
      <c r="Q9" s="1089" t="s">
        <v>2200</v>
      </c>
      <c r="R9" s="1090"/>
      <c r="S9" s="1090"/>
      <c r="T9" s="998"/>
      <c r="U9" s="999"/>
      <c r="V9" s="1054">
        <f>IFERROR(VLOOKUP(Y5,【参考】数式用!$A$5:$AB$27,MATCH(V8,【参考】数式用!$B$4:$AB$4,0)+1,FALSE),"")</f>
        <v>0.224</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f>IFERROR(VLOOKUP(Y5,【参考】数式用!$A$5:$J$27,MATCH(B9,【参考】数式用!$B$4:$J$4,0)+1,0),"")</f>
        <v>0.13700000000000001</v>
      </c>
      <c r="C10" s="1106"/>
      <c r="D10" s="1106"/>
      <c r="E10" s="1106"/>
      <c r="F10" s="1107"/>
      <c r="G10" s="1105">
        <f>IFERROR(VLOOKUP(Y5,【参考】数式用!$A$5:$J$27,MATCH(G9,【参考】数式用!$B$4:$J$4,0)+1,0),"")</f>
        <v>4.2000000000000003E-2</v>
      </c>
      <c r="H10" s="1106"/>
      <c r="I10" s="1106"/>
      <c r="J10" s="1106"/>
      <c r="K10" s="1107"/>
      <c r="L10" s="1105">
        <f>IFERROR(VLOOKUP(Y5,【参考】数式用!$A$5:$J$27,MATCH(L9,【参考】数式用!$B$4:$J$4,0)+1,0),"")</f>
        <v>0</v>
      </c>
      <c r="M10" s="1106"/>
      <c r="N10" s="1106"/>
      <c r="O10" s="1106"/>
      <c r="P10" s="1107"/>
      <c r="Q10" s="1111">
        <f>SUM(B10,G10,L10)</f>
        <v>0.17900000000000002</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新加算Ⅴ(３)</v>
      </c>
      <c r="W11" s="1060"/>
      <c r="X11" s="1060"/>
      <c r="Y11" s="1060"/>
      <c r="Z11" s="1060"/>
      <c r="AA11" s="1034" t="str">
        <f>IFERROR(VLOOKUP(AS1,【参考】数式用2!E6:L23,6,FALSE),"")</f>
        <v>４月からベア加算を算定せず、６月から月額賃金改善要件Ⅱも満たさない場合、Ⅴ(３)となる。なお、R7年度以降は月額賃金改善要件Ⅱが必要。</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6" t="str">
        <f>IF(OR(V11="新加算Ⅰ",V11="新加算Ⅱ",V11="新加算Ⅲ",V11="新加算Ⅴ(１)",V11="新加算Ⅴ(３)",V11="新加算Ⅴ(８)"),"○","")</f>
        <v>○</v>
      </c>
      <c r="AX11" s="1166" t="str">
        <f>IF(OR(V11="新加算Ⅰ",V11="新加算Ⅱ",V11="新加算Ⅴ(１)",V11="新加算Ⅴ(２)",V11="新加算Ⅴ(３)",V11="新加算Ⅴ(４)",V11="新加算Ⅴ(５)",V11="新加算Ⅴ(６)",V11="新加算Ⅴ(７)",V11="新加算Ⅴ(９)",V11="新加算Ⅴ(10)",V11="新加算Ⅴ(12)"),"○","")</f>
        <v>○</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79"/>
      <c r="D12" s="1079"/>
      <c r="E12" s="1079"/>
      <c r="F12" s="1079"/>
      <c r="G12" s="1079"/>
      <c r="H12" s="1079"/>
      <c r="I12" s="1079"/>
      <c r="J12" s="1079"/>
      <c r="K12" s="1079"/>
      <c r="L12" s="1079"/>
      <c r="M12" s="1079"/>
      <c r="N12" s="1079"/>
      <c r="O12" s="1079"/>
      <c r="P12" s="1079"/>
      <c r="Q12" s="1079"/>
      <c r="R12" s="1079"/>
      <c r="S12" s="1079"/>
      <c r="T12" s="1068"/>
      <c r="U12" s="999"/>
      <c r="V12" s="1059">
        <f>IFERROR(VLOOKUP(Y5,【参考】数式用!$A$5:$AB$27,MATCH(V11,【参考】数式用!$B$4:$AB$4,0)+1,FALSE),"")</f>
        <v>0.2</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202"/>
      <c r="V14" s="1060" t="str">
        <f>IFERROR(IF(VLOOKUP(AS1,【参考】数式用2!E6:L23,7,FALSE)="","",VLOOKUP(AS1,【参考】数式用2!E6:L23,7,FALSE)),"")</f>
        <v/>
      </c>
      <c r="W14" s="1060"/>
      <c r="X14" s="1060"/>
      <c r="Y14" s="1060"/>
      <c r="Z14" s="1060"/>
      <c r="AA14" s="1044">
        <f>IFERROR(VLOOKUP(AS1,【参考】数式用2!E6:L23,8,FALSE),"")</f>
        <v>0</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203" t="s">
        <v>2283</v>
      </c>
      <c r="F15" s="147">
        <v>4</v>
      </c>
      <c r="G15" s="203" t="s">
        <v>2284</v>
      </c>
      <c r="H15" s="1115" t="s">
        <v>2285</v>
      </c>
      <c r="I15" s="1115"/>
      <c r="J15" s="1128"/>
      <c r="K15" s="147">
        <v>7</v>
      </c>
      <c r="L15" s="203" t="s">
        <v>2283</v>
      </c>
      <c r="M15" s="147">
        <v>3</v>
      </c>
      <c r="N15" s="203" t="s">
        <v>2284</v>
      </c>
      <c r="O15" s="203" t="s">
        <v>2286</v>
      </c>
      <c r="P15" s="204">
        <f>(K15*12+M15)-(D15*12+F15)+1</f>
        <v>12</v>
      </c>
      <c r="Q15" s="1115" t="s">
        <v>2287</v>
      </c>
      <c r="R15" s="1115"/>
      <c r="S15" s="205" t="s">
        <v>74</v>
      </c>
      <c r="U15" s="202"/>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219"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219" t="str">
        <f>IFERROR(IF(OR(B9="処遇加算Ⅰ",B9="処遇加算Ⅱ"),"✓",""),"")</f>
        <v>✓</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023"/>
      <c r="C25" s="1024"/>
      <c r="D25" s="1024"/>
      <c r="E25" s="1024"/>
      <c r="F25" s="1025"/>
      <c r="G25" s="1045"/>
      <c r="H25" s="1046"/>
      <c r="I25" s="1046"/>
      <c r="J25" s="1046"/>
      <c r="K25" s="1046"/>
      <c r="L25" s="1046"/>
      <c r="M25" s="1046"/>
      <c r="N25" s="1046"/>
      <c r="O25" s="1046"/>
      <c r="P25" s="1046"/>
      <c r="Q25" s="1046"/>
      <c r="R25" s="1046"/>
      <c r="S25" s="1046"/>
      <c r="T25" s="1064"/>
      <c r="U25" s="218"/>
      <c r="V25" s="219"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219"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219" t="str">
        <f>IFERROR(IF(OR(B9="処遇加算Ⅰ",B9="処遇加算Ⅱ"),"✓",""),"")</f>
        <v>✓</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219"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219"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219" t="str">
        <f>IFERROR(IF(B9="処遇加算Ⅰ","✓",""),"")</f>
        <v>✓</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219"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219" t="str">
        <f>IFERROR(IF(OR(G9="特定加算Ⅰ",G9="特定加算Ⅱ"),"✓",""),"")</f>
        <v>✓</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219" t="str">
        <f>IFERROR(IF(G9="特定加算なし","✓",""),"")</f>
        <v/>
      </c>
      <c r="W37" s="1012" t="s">
        <v>17</v>
      </c>
      <c r="X37" s="1013"/>
      <c r="Y37" s="1013"/>
      <c r="Z37" s="1014"/>
      <c r="AA37" s="998"/>
      <c r="AB37" s="999"/>
      <c r="AC37" s="981" t="s">
        <v>2369</v>
      </c>
      <c r="AD37" s="982"/>
      <c r="AE37" s="982"/>
      <c r="AF37" s="982"/>
      <c r="AG37" s="983">
        <v>1</v>
      </c>
      <c r="AH37" s="984"/>
      <c r="AI37" s="998"/>
      <c r="AJ37" s="999"/>
      <c r="AK37" s="981" t="s">
        <v>2369</v>
      </c>
      <c r="AL37" s="982"/>
      <c r="AM37" s="982"/>
      <c r="AN37" s="982"/>
      <c r="AO37" s="983">
        <v>0</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19" t="s">
        <v>2223</v>
      </c>
      <c r="C40" s="1019"/>
      <c r="D40" s="1019"/>
      <c r="E40" s="1019"/>
      <c r="F40" s="1019"/>
      <c r="G40" s="1029" t="str">
        <f>IFERROR(VLOOKUP(Y5,【参考】数式用!AS5:AT27,2,0),"")</f>
        <v>　特定事業所加算ⅠまたはⅡを算定する。</v>
      </c>
      <c r="H40" s="1029"/>
      <c r="I40" s="1029"/>
      <c r="J40" s="1029"/>
      <c r="K40" s="1029"/>
      <c r="L40" s="1029"/>
      <c r="M40" s="1029"/>
      <c r="N40" s="1029"/>
      <c r="O40" s="1029"/>
      <c r="P40" s="1029"/>
      <c r="Q40" s="1029"/>
      <c r="R40" s="1029"/>
      <c r="S40" s="1029"/>
      <c r="T40" s="1029"/>
      <c r="U40" s="192"/>
      <c r="V40" s="219"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219" t="str">
        <f>IFERROR(IF(OR(G9="特定加算Ⅱ",G9="特定加算なし"),"✓",""),"")</f>
        <v>✓</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219" t="str">
        <f>IFERROR(IF(OR(G9="特定加算Ⅰ",G9="特定加算Ⅱ"),"✓",""),"")</f>
        <v>✓</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219"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処遇加算Ⅰ</v>
      </c>
      <c r="H49" s="1139"/>
      <c r="I49" s="1139"/>
      <c r="J49" s="1139"/>
      <c r="K49" s="1165"/>
      <c r="L49" s="1138" t="str">
        <f>IFERROR(IF(G9="","",IF(AND(OR(AH61=1,AH61=2),AH62=1,AH63=1),"特定加算Ⅰ",IF(AND(OR(AH61=1,AH61=2),AH62=2,AH63=1),"特定加算Ⅱ",IF(OR(AH61=3,AH62=2,AH63=2),"特定加算なし","")))),"")</f>
        <v>特定加算Ⅱ</v>
      </c>
      <c r="M49" s="1139"/>
      <c r="N49" s="1139"/>
      <c r="O49" s="1139"/>
      <c r="P49" s="1140"/>
      <c r="Q49" s="1141" t="str">
        <f>IFERROR(IF(OR(L9="ベア加算",AND(L9="ベア加算なし",AH57=1)),"ベア加算",IF(AH57=2,"ベア加算なし","")),"")</f>
        <v>ベア加算</v>
      </c>
      <c r="R49" s="1139"/>
      <c r="S49" s="1139"/>
      <c r="T49" s="1139"/>
      <c r="U49" s="1140"/>
      <c r="V49" s="1142" t="s">
        <v>12</v>
      </c>
      <c r="W49" s="1143"/>
      <c r="X49" s="1143"/>
      <c r="Y49" s="1143"/>
      <c r="Z49" s="1143"/>
      <c r="AA49" s="1068"/>
      <c r="AB49" s="1068"/>
      <c r="AC49" s="1153" t="str">
        <f>IFERROR(VLOOKUP(BE48,【参考】数式用2!E6:F23,2,FALSE),"")</f>
        <v>新加算Ⅱ</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6">
        <f>IFERROR(VLOOKUP(Y5,【参考】数式用!$A$5:$J$27,MATCH(G49,【参考】数式用!$B$4:$J$4,0)+1,0),"")</f>
        <v>0.13700000000000001</v>
      </c>
      <c r="H50" s="1157"/>
      <c r="I50" s="1157"/>
      <c r="J50" s="1157"/>
      <c r="K50" s="1158"/>
      <c r="L50" s="1156">
        <f>IFERROR(VLOOKUP(Y5,【参考】数式用!$A$5:$J$27,MATCH(L49,【参考】数式用!$B$4:$J$4,0)+1,0),"")</f>
        <v>4.2000000000000003E-2</v>
      </c>
      <c r="M50" s="1157"/>
      <c r="N50" s="1157"/>
      <c r="O50" s="1157"/>
      <c r="P50" s="1159"/>
      <c r="Q50" s="1160">
        <f>IFERROR(VLOOKUP(Y5,【参考】数式用!$A$5:$J$27,MATCH(Q49,【参考】数式用!$B$4:$J$4,0)+1,0),"")</f>
        <v>2.4E-2</v>
      </c>
      <c r="R50" s="1157"/>
      <c r="S50" s="1157"/>
      <c r="T50" s="1157"/>
      <c r="U50" s="1159"/>
      <c r="V50" s="1111">
        <f>SUM(G50,L50,Q50)</f>
        <v>0.20300000000000001</v>
      </c>
      <c r="W50" s="1112"/>
      <c r="X50" s="1112"/>
      <c r="Y50" s="1112"/>
      <c r="Z50" s="1112"/>
      <c r="AA50" s="1068"/>
      <c r="AB50" s="1068"/>
      <c r="AC50" s="1161">
        <f>IFERROR(VLOOKUP(Y5,【参考】数式用!$A$5:$AB$27,MATCH(AC49,【参考】数式用!$B$4:$AB$4,0)+1,FALSE),"")</f>
        <v>0.224</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130">
        <f>IFERROR(ROUNDDOWN(ROUND(AM5*G50,0)*P5,0)*H53,"")</f>
        <v>577866</v>
      </c>
      <c r="H51" s="1130"/>
      <c r="I51" s="1130"/>
      <c r="J51" s="1130"/>
      <c r="K51" s="148" t="s">
        <v>2289</v>
      </c>
      <c r="L51" s="1129">
        <f>IFERROR(ROUNDDOWN(ROUND(AM5*L50,0)*P5,0)*H53,"")</f>
        <v>177156</v>
      </c>
      <c r="M51" s="1130"/>
      <c r="N51" s="1130"/>
      <c r="O51" s="1130"/>
      <c r="P51" s="148" t="s">
        <v>2289</v>
      </c>
      <c r="Q51" s="1129">
        <f>IFERROR(ROUNDDOWN(ROUND(AM5*Q50,0)*P5,0)*H53,"")</f>
        <v>101232</v>
      </c>
      <c r="R51" s="1130"/>
      <c r="S51" s="1130"/>
      <c r="T51" s="1130"/>
      <c r="U51" s="149" t="s">
        <v>2289</v>
      </c>
      <c r="V51" s="1136">
        <f>IFERROR(SUM(G51,L51,Q51),"")</f>
        <v>856254</v>
      </c>
      <c r="W51" s="1137"/>
      <c r="X51" s="1137"/>
      <c r="Y51" s="1137"/>
      <c r="Z51" s="150" t="s">
        <v>2289</v>
      </c>
      <c r="AB51" s="151"/>
      <c r="AC51" s="1129">
        <f>IFERROR(ROUNDDOWN(ROUND(AM5*AC50,0)*P5,0)*AD53,"")</f>
        <v>4724160</v>
      </c>
      <c r="AD51" s="1130"/>
      <c r="AE51" s="1130"/>
      <c r="AF51" s="1130"/>
      <c r="AG51" s="1130"/>
      <c r="AH51" s="149" t="s">
        <v>2289</v>
      </c>
      <c r="AS51" s="1010">
        <f>IFERROR(ROUNDDOWN(ROUND(AM5*(G50-B10),0)*P5,0)*H53,"")</f>
        <v>0</v>
      </c>
      <c r="AT51" s="1010"/>
      <c r="AU51" s="1010"/>
      <c r="AV51" s="1010"/>
      <c r="AW51" s="1010">
        <f>IFERROR(ROUNDDOWN(ROUND(AM5*(L50-G10),0)*P5,0)*H53,"")</f>
        <v>0</v>
      </c>
      <c r="AX51" s="1010"/>
      <c r="AY51" s="1010"/>
      <c r="AZ51" s="1010"/>
      <c r="BA51" s="1010">
        <f>IFERROR(ROUNDDOWN(ROUND(AM5*(Q50-L10),0)*P5,0)*H53,"")</f>
        <v>101232</v>
      </c>
      <c r="BB51" s="1010"/>
      <c r="BC51" s="1010"/>
      <c r="BD51" s="1010"/>
      <c r="BE51" s="1010">
        <f>IFERROR(ROUNDDOWN(ROUND(AM5*(AC50-Q10),0)*P5,0)*AD53,"")</f>
        <v>949050</v>
      </c>
      <c r="BF51" s="1010"/>
      <c r="BG51" s="1010"/>
      <c r="BH51" s="1010"/>
      <c r="BI51" s="1010">
        <f>SUM(AS51:BH51)</f>
        <v>1050282</v>
      </c>
      <c r="BJ51" s="1010"/>
      <c r="BK51" s="1010"/>
      <c r="BL51" s="1010"/>
      <c r="BM51" s="241"/>
      <c r="BN51" s="1010">
        <f>IFERROR(ROUNDDOWN(ROUNDDOWN(ROUND(AM5*(VLOOKUP(Y5,【参考】数式用!$A$5:$AB$27,14,FALSE)),0)*P5,0)*AD53*0.5,0),"")</f>
        <v>1529025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71" t="str">
        <f>IFERROR("("&amp;TEXT(G51/H53,"#,##0円")&amp;"/月)","")</f>
        <v>(288,933円/月)</v>
      </c>
      <c r="H52" s="1072"/>
      <c r="I52" s="1072"/>
      <c r="J52" s="1072"/>
      <c r="K52" s="1072"/>
      <c r="L52" s="1072" t="str">
        <f>IFERROR("("&amp;TEXT(L51/H53,"#,##0円")&amp;"/月)","")</f>
        <v>(88,578円/月)</v>
      </c>
      <c r="M52" s="1072"/>
      <c r="N52" s="1072"/>
      <c r="O52" s="1072"/>
      <c r="P52" s="1072"/>
      <c r="Q52" s="1072" t="str">
        <f>IFERROR("("&amp;TEXT(Q51/H53,"#,##0円")&amp;"/月)","")</f>
        <v>(50,616円/月)</v>
      </c>
      <c r="R52" s="1072"/>
      <c r="S52" s="1072"/>
      <c r="T52" s="1072"/>
      <c r="U52" s="1072"/>
      <c r="V52" s="1072" t="str">
        <f>IFERROR("("&amp;TEXT(V51/H53,"#,##0円")&amp;"/月)","")</f>
        <v>(428,127円/月)</v>
      </c>
      <c r="W52" s="1072"/>
      <c r="X52" s="1072"/>
      <c r="Y52" s="1072"/>
      <c r="Z52" s="1072"/>
      <c r="AB52" s="151"/>
      <c r="AC52" s="1131" t="str">
        <f>IFERROR("("&amp;TEXT(AC51/AD53,"#,##0円")&amp;"/月)","")</f>
        <v>(472,416円/月)</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6" ht="15.95" customHeight="1">
      <c r="U57" s="1005" t="s">
        <v>2203</v>
      </c>
      <c r="V57" s="1005"/>
      <c r="W57" s="1005"/>
      <c r="X57" s="1005"/>
      <c r="Y57" s="1005"/>
      <c r="Z57" s="252">
        <f>IF(AND(B9&lt;&gt;"処遇加算なし",F15=4),IF(V21="✓",1,IF(V22="✓",2,"")),"")</f>
        <v>2</v>
      </c>
      <c r="AA57" s="245"/>
      <c r="AB57" s="249"/>
      <c r="AC57" s="1005" t="s">
        <v>2203</v>
      </c>
      <c r="AD57" s="1005"/>
      <c r="AE57" s="1005"/>
      <c r="AF57" s="1005"/>
      <c r="AG57" s="1005"/>
      <c r="AH57" s="170">
        <v>1</v>
      </c>
      <c r="AI57" s="253"/>
      <c r="AJ57" s="249"/>
      <c r="AK57" s="1005" t="s">
        <v>2203</v>
      </c>
      <c r="AL57" s="1005"/>
      <c r="AM57" s="1005"/>
      <c r="AN57" s="1005"/>
      <c r="AO57" s="1005"/>
      <c r="AP57" s="170">
        <v>1</v>
      </c>
      <c r="AQ57" s="245"/>
      <c r="AR57" s="245"/>
      <c r="AS57" s="1004"/>
      <c r="AT57" s="1004"/>
      <c r="AU57" s="1004"/>
      <c r="AV57" s="1004"/>
      <c r="AW57" s="1017"/>
      <c r="AX57" s="1017"/>
      <c r="AY57" s="1017"/>
      <c r="AZ57" s="1017"/>
      <c r="BP57" s="251"/>
      <c r="BR57" s="251"/>
      <c r="BS57" s="251"/>
      <c r="BT57" s="251"/>
      <c r="BU57" s="251"/>
      <c r="BV57" s="251"/>
      <c r="BW57" s="251"/>
      <c r="BX57" s="251"/>
      <c r="BY57" s="251"/>
      <c r="BZ57" s="251"/>
      <c r="CA57" s="251"/>
      <c r="CB57" s="251"/>
      <c r="CC57" s="251"/>
      <c r="CD57" s="251"/>
      <c r="CE57" s="251"/>
      <c r="CF57" s="251"/>
      <c r="CH57" s="254"/>
    </row>
    <row r="58" spans="2:86" ht="15.95" customHeight="1">
      <c r="U58" s="1033" t="s">
        <v>2204</v>
      </c>
      <c r="V58" s="1033"/>
      <c r="W58" s="1033"/>
      <c r="X58" s="1033"/>
      <c r="Y58" s="1033"/>
      <c r="Z58" s="252">
        <f>IF(AND(B9&lt;&gt;"処遇加算なし",F15=4),IF(V24="✓",1,IF(V25="✓",2,IF(V26="✓",3,""))),"")</f>
        <v>1</v>
      </c>
      <c r="AA58" s="245"/>
      <c r="AB58" s="249"/>
      <c r="AC58" s="1033" t="s">
        <v>2204</v>
      </c>
      <c r="AD58" s="1033"/>
      <c r="AE58" s="1033"/>
      <c r="AF58" s="1033"/>
      <c r="AG58" s="1033"/>
      <c r="AH58" s="170">
        <v>1</v>
      </c>
      <c r="AI58" s="253"/>
      <c r="AJ58" s="249"/>
      <c r="AK58" s="1033" t="s">
        <v>2204</v>
      </c>
      <c r="AL58" s="1033"/>
      <c r="AM58" s="1033"/>
      <c r="AN58" s="1033"/>
      <c r="AO58" s="1033"/>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33" t="s">
        <v>2205</v>
      </c>
      <c r="V59" s="1033"/>
      <c r="W59" s="1033"/>
      <c r="X59" s="1033"/>
      <c r="Y59" s="1033"/>
      <c r="Z59" s="252">
        <f>IF(AND(B9&lt;&gt;"処遇加算なし",F15=4),IF(V28="✓",1,IF(V29="✓",2,IF(V30="✓",3,""))),"")</f>
        <v>1</v>
      </c>
      <c r="AA59" s="245"/>
      <c r="AB59" s="249"/>
      <c r="AC59" s="1033" t="s">
        <v>2205</v>
      </c>
      <c r="AD59" s="1033"/>
      <c r="AE59" s="1033"/>
      <c r="AF59" s="1033"/>
      <c r="AG59" s="1033"/>
      <c r="AH59" s="170">
        <v>1</v>
      </c>
      <c r="AI59" s="253"/>
      <c r="AJ59" s="249"/>
      <c r="AK59" s="1033" t="s">
        <v>2205</v>
      </c>
      <c r="AL59" s="1033"/>
      <c r="AM59" s="1033"/>
      <c r="AN59" s="1033"/>
      <c r="AO59" s="1033"/>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33" t="s">
        <v>2206</v>
      </c>
      <c r="V60" s="1033"/>
      <c r="W60" s="1033"/>
      <c r="X60" s="1033"/>
      <c r="Y60" s="1033"/>
      <c r="Z60" s="252">
        <f>IF(AND(B9&lt;&gt;"処遇加算なし",F15=4),IF(V32="✓",1,IF(V33="✓",2,"")),"")</f>
        <v>1</v>
      </c>
      <c r="AA60" s="245"/>
      <c r="AB60" s="249"/>
      <c r="AC60" s="1033" t="s">
        <v>2206</v>
      </c>
      <c r="AD60" s="1033"/>
      <c r="AE60" s="1033"/>
      <c r="AF60" s="1033"/>
      <c r="AG60" s="1033"/>
      <c r="AH60" s="170">
        <v>1</v>
      </c>
      <c r="AI60" s="253"/>
      <c r="AJ60" s="249"/>
      <c r="AK60" s="1033" t="s">
        <v>2206</v>
      </c>
      <c r="AL60" s="1033"/>
      <c r="AM60" s="1033"/>
      <c r="AN60" s="1033"/>
      <c r="AO60" s="1033"/>
      <c r="AP60" s="170">
        <v>1</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33" t="s">
        <v>2207</v>
      </c>
      <c r="V61" s="1033"/>
      <c r="W61" s="1033"/>
      <c r="X61" s="1033"/>
      <c r="Y61" s="1033"/>
      <c r="Z61" s="252">
        <f>IF(AND(B9&lt;&gt;"処遇加算なし",F15=4),IF(V36="✓",1,IF(V37="✓",2,"")),"")</f>
        <v>1</v>
      </c>
      <c r="AA61" s="245"/>
      <c r="AB61" s="249"/>
      <c r="AC61" s="1033" t="s">
        <v>2207</v>
      </c>
      <c r="AD61" s="1033"/>
      <c r="AE61" s="1033"/>
      <c r="AF61" s="1033"/>
      <c r="AG61" s="1033"/>
      <c r="AH61" s="170">
        <v>1</v>
      </c>
      <c r="AI61" s="253"/>
      <c r="AJ61" s="249"/>
      <c r="AK61" s="1033" t="s">
        <v>2207</v>
      </c>
      <c r="AL61" s="1033"/>
      <c r="AM61" s="1033"/>
      <c r="AN61" s="1033"/>
      <c r="AO61" s="1033"/>
      <c r="AP61" s="170">
        <v>1</v>
      </c>
      <c r="AQ61" s="245"/>
      <c r="AR61" s="245"/>
      <c r="AS61" s="1005" t="str">
        <f>IF(OR(AND(Z61=1,AH61=2),AND(Z61=1,AP61=2)),"○","")</f>
        <v/>
      </c>
      <c r="AT61" s="1005"/>
      <c r="AU61" s="1005"/>
      <c r="AV61" s="1005"/>
      <c r="AW61" s="1018" t="str">
        <f>IF(OR((AD61-AL61)&lt;0,(AD61-AT61)&lt;0),"!","")</f>
        <v/>
      </c>
      <c r="AX61" s="1018"/>
      <c r="AY61" s="1018"/>
      <c r="AZ61" s="1018"/>
      <c r="BP61" s="251"/>
      <c r="BR61" s="251"/>
      <c r="BS61" s="251"/>
      <c r="BT61" s="251"/>
      <c r="BU61" s="251"/>
      <c r="BV61" s="251"/>
      <c r="BW61" s="251"/>
      <c r="BX61" s="251"/>
      <c r="BY61" s="251"/>
      <c r="BZ61" s="251"/>
      <c r="CA61" s="251"/>
      <c r="CB61" s="251"/>
      <c r="CC61" s="251"/>
      <c r="CD61" s="251"/>
      <c r="CE61" s="251"/>
      <c r="CF61" s="251"/>
      <c r="CH61" s="254"/>
    </row>
    <row r="62" spans="2:86" ht="15.95" customHeight="1">
      <c r="U62" s="1033" t="s">
        <v>2208</v>
      </c>
      <c r="V62" s="1033"/>
      <c r="W62" s="1033"/>
      <c r="X62" s="1033"/>
      <c r="Y62" s="1033"/>
      <c r="Z62" s="252">
        <f>IF(AND(B9&lt;&gt;"処遇加算なし",F15=4),IF(V40="✓",1,IF(V41="✓",2,"")),"")</f>
        <v>2</v>
      </c>
      <c r="AA62" s="245"/>
      <c r="AB62" s="249"/>
      <c r="AC62" s="1033" t="s">
        <v>2208</v>
      </c>
      <c r="AD62" s="1033"/>
      <c r="AE62" s="1033"/>
      <c r="AF62" s="1033"/>
      <c r="AG62" s="1033"/>
      <c r="AH62" s="170">
        <v>2</v>
      </c>
      <c r="AI62" s="253"/>
      <c r="AJ62" s="249"/>
      <c r="AK62" s="1033" t="s">
        <v>2208</v>
      </c>
      <c r="AL62" s="1033"/>
      <c r="AM62" s="1033"/>
      <c r="AN62" s="1033"/>
      <c r="AO62" s="1033"/>
      <c r="AP62" s="170">
        <v>2</v>
      </c>
      <c r="AQ62" s="245"/>
      <c r="AR62" s="245"/>
      <c r="AS62" s="1005" t="str">
        <f>IF(OR(AND(Z62=1,AH62=2),AND(Z62=1,AP62=2)),"○","")</f>
        <v/>
      </c>
      <c r="AT62" s="1005"/>
      <c r="AU62" s="1005"/>
      <c r="AV62" s="1005"/>
      <c r="AW62" s="1018" t="str">
        <f>IF(OR((AD62-AL62)&lt;0,(AD62-AT62)&lt;0),"!","")</f>
        <v/>
      </c>
      <c r="AX62" s="1018"/>
      <c r="AY62" s="1018"/>
      <c r="AZ62" s="1018"/>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252">
        <f>IF(AND(B9&lt;&gt;"処遇加算なし",F15=4),IF(V44="✓",1,IF(V45="✓",2,"")),"")</f>
        <v>1</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8" t="str">
        <f>IF(OR((AD63-AL63)&lt;0,(AD63-AT63)&lt;0),"!","")</f>
        <v/>
      </c>
      <c r="AX63" s="1018"/>
      <c r="AY63" s="1018"/>
      <c r="AZ63" s="1018"/>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buwdZxbcbCNUn1LgswxtAbGdLuWygSYypcHuhmpvQzF2Y8g2jPoum5eMgF6Fzb8cTAH53WymqToW5qxqX1MnFA==" saltValue="JYQ0m+HeUQUU5gwU3q9O6A=="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B48:F48"/>
    <mergeCell ref="G44:T45"/>
    <mergeCell ref="B44:F45"/>
    <mergeCell ref="B49:F49"/>
    <mergeCell ref="B50:F50"/>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W44:Z44"/>
    <mergeCell ref="AA44:AB45"/>
    <mergeCell ref="AD44:AH44"/>
    <mergeCell ref="G51:J51"/>
    <mergeCell ref="B47:AH47"/>
    <mergeCell ref="L52:P52"/>
    <mergeCell ref="Q52:U52"/>
    <mergeCell ref="V52:Z52"/>
    <mergeCell ref="AC51:AG51"/>
    <mergeCell ref="AC52:AH52"/>
    <mergeCell ref="AI44:AJ45"/>
    <mergeCell ref="AL44:AP44"/>
    <mergeCell ref="AL40:AP40"/>
    <mergeCell ref="W41:Z41"/>
    <mergeCell ref="AD41:AH41"/>
    <mergeCell ref="AL41:AP41"/>
    <mergeCell ref="W40:Z40"/>
    <mergeCell ref="AA40:AB41"/>
    <mergeCell ref="AD40:AH40"/>
    <mergeCell ref="AI40:AJ41"/>
    <mergeCell ref="L51:O51"/>
    <mergeCell ref="Q51:T51"/>
    <mergeCell ref="V51:Y51"/>
    <mergeCell ref="L49:P49"/>
    <mergeCell ref="Q49:U49"/>
    <mergeCell ref="V49:Z49"/>
    <mergeCell ref="W25:Z25"/>
    <mergeCell ref="AD25:AH25"/>
    <mergeCell ref="B18:S20"/>
    <mergeCell ref="B10:F11"/>
    <mergeCell ref="G10:K11"/>
    <mergeCell ref="L10:P11"/>
    <mergeCell ref="Q10:S11"/>
    <mergeCell ref="AC20:AH20"/>
    <mergeCell ref="B15:C15"/>
    <mergeCell ref="Q15:R15"/>
    <mergeCell ref="V15:Z16"/>
    <mergeCell ref="B13:S14"/>
    <mergeCell ref="H15:J15"/>
    <mergeCell ref="W24:Z24"/>
    <mergeCell ref="AA24:AB26"/>
    <mergeCell ref="AD24:AH24"/>
    <mergeCell ref="B24:F26"/>
    <mergeCell ref="G5:I5"/>
    <mergeCell ref="J5:L5"/>
    <mergeCell ref="M5:O5"/>
    <mergeCell ref="P5:R5"/>
    <mergeCell ref="S5:X5"/>
    <mergeCell ref="Q9:S9"/>
    <mergeCell ref="B8:S8"/>
    <mergeCell ref="B9:F9"/>
    <mergeCell ref="G9:K9"/>
    <mergeCell ref="L9:P9"/>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AC62:AG62"/>
    <mergeCell ref="AC56:AH56"/>
    <mergeCell ref="AC63:AG63"/>
    <mergeCell ref="AK56:AP56"/>
    <mergeCell ref="AK63:AO63"/>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B36:F38"/>
    <mergeCell ref="B32:F34"/>
    <mergeCell ref="B28:F30"/>
    <mergeCell ref="B40:F42"/>
    <mergeCell ref="G40:T42"/>
    <mergeCell ref="W26:Z26"/>
    <mergeCell ref="W29:Z29"/>
    <mergeCell ref="W30:Z30"/>
    <mergeCell ref="W28:Z28"/>
    <mergeCell ref="W36:Z36"/>
    <mergeCell ref="W32:Z32"/>
    <mergeCell ref="G32:T34"/>
    <mergeCell ref="W37:Z37"/>
    <mergeCell ref="AA28:AB30"/>
    <mergeCell ref="AD28:AH28"/>
    <mergeCell ref="G36:T38"/>
    <mergeCell ref="W33:Z33"/>
    <mergeCell ref="AD33:AH33"/>
    <mergeCell ref="AD34:AH34"/>
    <mergeCell ref="AS63:AV63"/>
    <mergeCell ref="AS56:AV56"/>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2423</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東京都</v>
      </c>
      <c r="AJ1" s="1177"/>
      <c r="AK1" s="1177"/>
      <c r="AL1" s="1177"/>
      <c r="AM1" s="1177"/>
      <c r="AN1" s="1177"/>
      <c r="AO1" s="1177"/>
      <c r="AP1" s="1177"/>
      <c r="AS1" s="1001" t="str">
        <f>B9&amp;G9&amp;L9</f>
        <v>処遇加算Ⅱ特定加算なしベア加算</v>
      </c>
      <c r="AT1" s="1002"/>
      <c r="AU1" s="1002"/>
      <c r="AV1" s="1002"/>
      <c r="AW1" s="1002"/>
      <c r="AX1" s="1002"/>
      <c r="AY1" s="1002"/>
      <c r="AZ1" s="1002"/>
      <c r="BA1" s="1002"/>
      <c r="BB1" s="1002"/>
      <c r="BC1" s="1002"/>
      <c r="BD1" s="1002"/>
      <c r="BE1" s="1003"/>
      <c r="BF1" s="1000" t="str">
        <f>IFERROR(VLOOKUP(Y5,【参考】数式用!$AJ$2:$AK$24,2,FALSE),"")</f>
        <v>通所介護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f>IF(AND(L9="ベア加算",Q49="ベア加算"),1,"")</f>
        <v>1</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0">
        <v>1334567891</v>
      </c>
      <c r="C5" s="1080"/>
      <c r="D5" s="1080"/>
      <c r="E5" s="1080"/>
      <c r="F5" s="1080"/>
      <c r="G5" s="1081" t="s">
        <v>4</v>
      </c>
      <c r="H5" s="1081"/>
      <c r="I5" s="1081"/>
      <c r="J5" s="1082" t="s">
        <v>5</v>
      </c>
      <c r="K5" s="1082"/>
      <c r="L5" s="1082"/>
      <c r="M5" s="1083" t="s">
        <v>6</v>
      </c>
      <c r="N5" s="1083"/>
      <c r="O5" s="1083"/>
      <c r="P5" s="1084">
        <f>IF(Y5="","",IFERROR(INDEX(【参考】数式用3!$G$3:$I$451,MATCH(M5,【参考】数式用3!$F$3:$F$451,0),MATCH(VLOOKUP(Y5,【参考】数式用3!$J$2:$K$26,2,FALSE),【参考】数式用3!$G$2:$I$2,0)),10))</f>
        <v>10.9</v>
      </c>
      <c r="Q5" s="1085"/>
      <c r="R5" s="1085"/>
      <c r="S5" s="1086" t="s">
        <v>2431</v>
      </c>
      <c r="T5" s="1087"/>
      <c r="U5" s="1087"/>
      <c r="V5" s="1087"/>
      <c r="W5" s="1087"/>
      <c r="X5" s="1088"/>
      <c r="Y5" s="1070" t="s">
        <v>281</v>
      </c>
      <c r="Z5" s="1070"/>
      <c r="AA5" s="1070"/>
      <c r="AB5" s="1070"/>
      <c r="AC5" s="1070"/>
      <c r="AD5" s="1070"/>
      <c r="AE5" s="1038">
        <v>385000</v>
      </c>
      <c r="AF5" s="1039"/>
      <c r="AG5" s="1039"/>
      <c r="AH5" s="1040"/>
      <c r="AI5" s="1038">
        <v>80000</v>
      </c>
      <c r="AJ5" s="1039"/>
      <c r="AK5" s="1039"/>
      <c r="AL5" s="1040"/>
      <c r="AM5" s="1041">
        <f>AE5-AI5</f>
        <v>305000</v>
      </c>
      <c r="AN5" s="1042"/>
      <c r="AO5" s="1042"/>
      <c r="AP5" s="1043"/>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新加算Ⅱ</v>
      </c>
      <c r="W8" s="1052"/>
      <c r="X8" s="1052"/>
      <c r="Y8" s="1052"/>
      <c r="Z8" s="1053"/>
      <c r="AA8" s="1034"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6" t="str">
        <f>IF(OR(V8="新加算Ⅰ",V8="新加算Ⅱ",V8="新加算Ⅲ",V8="新加算Ⅴ(１)",V8="新加算Ⅴ(３)",V8="新加算Ⅴ(８)"),"○","")</f>
        <v>○</v>
      </c>
      <c r="AX8" s="1166" t="str">
        <f>IF(OR(V8="新加算Ⅰ",V8="新加算Ⅱ",V8="新加算Ⅴ(１)",V8="新加算Ⅴ(２)",V8="新加算Ⅴ(３)",V8="新加算Ⅴ(４)",V8="新加算Ⅴ(５)",V8="新加算Ⅴ(６)",V8="新加算Ⅴ(７)",V8="新加算Ⅴ(９)",V8="新加算Ⅴ(10)",V8="新加算Ⅴ(12)"),"○","")</f>
        <v>○</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v>
      </c>
      <c r="BA8" s="184"/>
      <c r="CE8" s="1169" t="s">
        <v>2388</v>
      </c>
      <c r="CF8" s="1169"/>
      <c r="CG8" s="1169"/>
      <c r="CH8" s="1169"/>
      <c r="CI8" s="979" t="str">
        <f>IF(AND(AP62=1,AL41=""),1,"")</f>
        <v/>
      </c>
      <c r="CJ8" s="980"/>
    </row>
    <row r="9" spans="1:88" ht="26.25" customHeight="1">
      <c r="B9" s="1094" t="s">
        <v>267</v>
      </c>
      <c r="C9" s="1095"/>
      <c r="D9" s="1095"/>
      <c r="E9" s="1095"/>
      <c r="F9" s="1096"/>
      <c r="G9" s="1097" t="s">
        <v>13</v>
      </c>
      <c r="H9" s="1098"/>
      <c r="I9" s="1098"/>
      <c r="J9" s="1098"/>
      <c r="K9" s="1099"/>
      <c r="L9" s="1100" t="s">
        <v>15</v>
      </c>
      <c r="M9" s="1101"/>
      <c r="N9" s="1101"/>
      <c r="O9" s="1101"/>
      <c r="P9" s="1102"/>
      <c r="Q9" s="1089" t="s">
        <v>2200</v>
      </c>
      <c r="R9" s="1090"/>
      <c r="S9" s="1090"/>
      <c r="T9" s="998"/>
      <c r="U9" s="999"/>
      <c r="V9" s="1054">
        <f>IFERROR(VLOOKUP(Y5,【参考】数式用!$A$5:$AB$27,MATCH(V8,【参考】数式用!$B$4:$AB$4,0)+1,FALSE),"")</f>
        <v>8.9999999999999983E-2</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f>IFERROR(VLOOKUP(Y5,【参考】数式用!$A$5:$J$27,MATCH(B9,【参考】数式用!$B$4:$J$4,0)+1,0),"")</f>
        <v>4.2999999999999997E-2</v>
      </c>
      <c r="C10" s="1106"/>
      <c r="D10" s="1106"/>
      <c r="E10" s="1106"/>
      <c r="F10" s="1107"/>
      <c r="G10" s="1105">
        <f>IFERROR(VLOOKUP(Y5,【参考】数式用!$A$5:$J$27,MATCH(G9,【参考】数式用!$B$4:$J$4,0)+1,0),"")</f>
        <v>0</v>
      </c>
      <c r="H10" s="1106"/>
      <c r="I10" s="1106"/>
      <c r="J10" s="1106"/>
      <c r="K10" s="1107"/>
      <c r="L10" s="1105">
        <f>IFERROR(VLOOKUP(Y5,【参考】数式用!$A$5:$J$27,MATCH(L9,【参考】数式用!$B$4:$J$4,0)+1,0),"")</f>
        <v>1.0999999999999999E-2</v>
      </c>
      <c r="M10" s="1106"/>
      <c r="N10" s="1106"/>
      <c r="O10" s="1106"/>
      <c r="P10" s="1107"/>
      <c r="Q10" s="1111">
        <f>SUM(B10,G10,L10)</f>
        <v>5.3999999999999992E-2</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新加算Ⅲ</v>
      </c>
      <c r="W11" s="1060"/>
      <c r="X11" s="1060"/>
      <c r="Y11" s="1060"/>
      <c r="Z11" s="1060"/>
      <c r="AA11" s="1034" t="str">
        <f>IFERROR(VLOOKUP(AS1,【参考】数式用2!E6:L23,6,FALSE),"")</f>
        <v>キャリアパス要件Ⅲを「R6年度中の対応の誓約」で満たし、４月から旧処遇加算Ⅰを算定可。その場合、６月以降は自然と新加算Ⅲに移行可能。</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6" t="str">
        <f>IF(OR(V11="新加算Ⅰ",V11="新加算Ⅱ",V11="新加算Ⅲ",V11="新加算Ⅴ(１)",V11="新加算Ⅴ(３)",V11="新加算Ⅴ(８)"),"○","")</f>
        <v>○</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79"/>
      <c r="D12" s="1079"/>
      <c r="E12" s="1079"/>
      <c r="F12" s="1079"/>
      <c r="G12" s="1079"/>
      <c r="H12" s="1079"/>
      <c r="I12" s="1079"/>
      <c r="J12" s="1079"/>
      <c r="K12" s="1079"/>
      <c r="L12" s="1079"/>
      <c r="M12" s="1079"/>
      <c r="N12" s="1079"/>
      <c r="O12" s="1079"/>
      <c r="P12" s="1079"/>
      <c r="Q12" s="1079"/>
      <c r="R12" s="1079"/>
      <c r="S12" s="1079"/>
      <c r="T12" s="1068"/>
      <c r="U12" s="999"/>
      <c r="V12" s="1059">
        <f>IFERROR(VLOOKUP(Y5,【参考】数式用!$A$5:$AB$27,MATCH(V11,【参考】数式用!$B$4:$AB$4,0)+1,FALSE),"")</f>
        <v>7.9999999999999988E-2</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新加算Ⅳ</v>
      </c>
      <c r="W14" s="1060"/>
      <c r="X14" s="1060"/>
      <c r="Y14" s="1060"/>
      <c r="Z14" s="1060"/>
      <c r="AA14" s="1044"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f>IFERROR(VLOOKUP(Y5,【参考】数式用!$A$5:$AB$27,MATCH(V14,【参考】数式用!$B$4:$AB$4,0)+1,FALSE),"")</f>
        <v>6.3999999999999987E-2</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v>
      </c>
      <c r="W37" s="1012" t="s">
        <v>17</v>
      </c>
      <c r="X37" s="1013"/>
      <c r="Y37" s="1013"/>
      <c r="Z37" s="1014"/>
      <c r="AA37" s="998"/>
      <c r="AB37" s="999"/>
      <c r="AC37" s="981" t="s">
        <v>2369</v>
      </c>
      <c r="AD37" s="982"/>
      <c r="AE37" s="982"/>
      <c r="AF37" s="982"/>
      <c r="AG37" s="983">
        <v>1</v>
      </c>
      <c r="AH37" s="984"/>
      <c r="AI37" s="998"/>
      <c r="AJ37" s="999"/>
      <c r="AK37" s="981" t="s">
        <v>2369</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サービス提供体制強化加算ⅠまたはⅡを算定する。</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v>
      </c>
      <c r="W41" s="1012" t="s">
        <v>17</v>
      </c>
      <c r="X41" s="1013"/>
      <c r="Y41" s="1013"/>
      <c r="Z41" s="1014"/>
      <c r="AA41" s="998"/>
      <c r="AB41" s="999"/>
      <c r="AC41" s="234" t="s">
        <v>90</v>
      </c>
      <c r="AD41" s="1133" t="s">
        <v>2271</v>
      </c>
      <c r="AE41" s="1134"/>
      <c r="AF41" s="1134"/>
      <c r="AG41" s="1134"/>
      <c r="AH41" s="1135"/>
      <c r="AI41" s="998"/>
      <c r="AJ41" s="999"/>
      <c r="AK41" s="234" t="s">
        <v>90</v>
      </c>
      <c r="AL41" s="1133" t="s">
        <v>2271</v>
      </c>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IFERROR(IF(AP57=1,"ベア加算",IF(AP57=2,"ベア加算なし","")),"")</f>
        <v/>
      </c>
      <c r="BB48" s="1007"/>
      <c r="BC48" s="1007"/>
      <c r="BD48" s="1007"/>
      <c r="BE48" s="1008" t="str">
        <f>AS48&amp;AW48&amp;BA48</f>
        <v>処遇加算Ⅰ特定加算Ⅱ</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処遇加算Ⅰ</v>
      </c>
      <c r="H49" s="1139"/>
      <c r="I49" s="1139"/>
      <c r="J49" s="1139"/>
      <c r="K49" s="1165"/>
      <c r="L49" s="1138" t="str">
        <f>IFERROR(IF(G9="","",IF(AND(OR(AH61=1,AH61=2),AH62=1,AH63=1),"特定加算Ⅰ",IF(AND(OR(AH61=1,AH61=2),AH62=2,AH63=1),"特定加算Ⅱ",IF(OR(AH61=3,AH62=2,AH63=2),"特定加算なし","")))),"")</f>
        <v>特定加算Ⅱ</v>
      </c>
      <c r="M49" s="1139"/>
      <c r="N49" s="1139"/>
      <c r="O49" s="1139"/>
      <c r="P49" s="1140"/>
      <c r="Q49" s="1141" t="str">
        <f>IFERROR(IF(OR(L9="ベア加算",AND(L9="ベア加算なし",AH57=1)),"ベア加算",IF(AH57=2,"ベア加算なし","")),"")</f>
        <v>ベア加算</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6">
        <f>IFERROR(VLOOKUP(Y5,【参考】数式用!$A$5:$J$27,MATCH(G49,【参考】数式用!$B$4:$J$4,0)+1,0),"")</f>
        <v>5.8999999999999997E-2</v>
      </c>
      <c r="H50" s="1157"/>
      <c r="I50" s="1157"/>
      <c r="J50" s="1157"/>
      <c r="K50" s="1158"/>
      <c r="L50" s="1156">
        <f>IFERROR(VLOOKUP(Y5,【参考】数式用!$A$5:$J$27,MATCH(L49,【参考】数式用!$B$4:$J$4,0)+1,0),"")</f>
        <v>0.01</v>
      </c>
      <c r="M50" s="1157"/>
      <c r="N50" s="1157"/>
      <c r="O50" s="1157"/>
      <c r="P50" s="1159"/>
      <c r="Q50" s="1160">
        <f>IFERROR(VLOOKUP(Y5,【参考】数式用!$A$5:$J$27,MATCH(Q49,【参考】数式用!$B$4:$J$4,0)+1,0),"")</f>
        <v>1.0999999999999999E-2</v>
      </c>
      <c r="R50" s="1157"/>
      <c r="S50" s="1157"/>
      <c r="T50" s="1157"/>
      <c r="U50" s="1159"/>
      <c r="V50" s="1111">
        <f>SUM(G50,L50,Q50)</f>
        <v>7.9999999999999988E-2</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130">
        <f>IFERROR(ROUNDDOWN(ROUND(AM5*G50,0)*P5,0)*H53,"")</f>
        <v>392290</v>
      </c>
      <c r="H51" s="1130"/>
      <c r="I51" s="1130"/>
      <c r="J51" s="1130"/>
      <c r="K51" s="148" t="s">
        <v>2289</v>
      </c>
      <c r="L51" s="1129">
        <f>IFERROR(ROUNDDOWN(ROUND(AM5*L50,0)*P5,0)*H53,"")</f>
        <v>66490</v>
      </c>
      <c r="M51" s="1130"/>
      <c r="N51" s="1130"/>
      <c r="O51" s="1130"/>
      <c r="P51" s="148" t="s">
        <v>2289</v>
      </c>
      <c r="Q51" s="1129">
        <f>IFERROR(ROUNDDOWN(ROUND(AM5*Q50,0)*P5,0)*H53,"")</f>
        <v>73138</v>
      </c>
      <c r="R51" s="1130"/>
      <c r="S51" s="1130"/>
      <c r="T51" s="1130"/>
      <c r="U51" s="149" t="s">
        <v>2289</v>
      </c>
      <c r="V51" s="1136">
        <f>IFERROR(SUM(G51,L51,Q51),"")</f>
        <v>531918</v>
      </c>
      <c r="W51" s="1137"/>
      <c r="X51" s="1137"/>
      <c r="Y51" s="1137"/>
      <c r="Z51" s="150" t="s">
        <v>2289</v>
      </c>
      <c r="AB51" s="151"/>
      <c r="AC51" s="1129" t="str">
        <f>IFERROR(ROUNDDOWN(ROUND(AM5*AC50,0)*P5,0)*AD53,"")</f>
        <v/>
      </c>
      <c r="AD51" s="1130"/>
      <c r="AE51" s="1130"/>
      <c r="AF51" s="1130"/>
      <c r="AG51" s="1130"/>
      <c r="AH51" s="149" t="s">
        <v>2289</v>
      </c>
      <c r="AS51" s="1010">
        <f>IFERROR(ROUNDDOWN(ROUND(AM5*(G50-B10),0)*P5,0)*H53,"")</f>
        <v>106384</v>
      </c>
      <c r="AT51" s="1010"/>
      <c r="AU51" s="1010"/>
      <c r="AV51" s="1010"/>
      <c r="AW51" s="1010">
        <f>IFERROR(ROUNDDOWN(ROUND(AM5*(L50-G10),0)*P5,0)*H53,"")</f>
        <v>66490</v>
      </c>
      <c r="AX51" s="1010"/>
      <c r="AY51" s="1010"/>
      <c r="AZ51" s="1010"/>
      <c r="BA51" s="1010">
        <f>IFERROR(ROUNDDOWN(ROUND(AM5*(Q50-L10),0)*P5,0)*H53,"")</f>
        <v>0</v>
      </c>
      <c r="BB51" s="1010"/>
      <c r="BC51" s="1010"/>
      <c r="BD51" s="1010"/>
      <c r="BE51" s="1010" t="str">
        <f>IFERROR(ROUNDDOWN(ROUND(AM5*(AC50-Q10),0)*P5,0)*AD53,"")</f>
        <v/>
      </c>
      <c r="BF51" s="1010"/>
      <c r="BG51" s="1010"/>
      <c r="BH51" s="1010"/>
      <c r="BI51" s="1010">
        <f>SUM(AS51:BH51)</f>
        <v>172874</v>
      </c>
      <c r="BJ51" s="1010"/>
      <c r="BK51" s="1010"/>
      <c r="BL51" s="1010"/>
      <c r="BM51" s="241"/>
      <c r="BN51" s="1010">
        <f>IFERROR(ROUNDDOWN(ROUNDDOWN(ROUND(AM5*(VLOOKUP(Y5,【参考】数式用!$A$5:$AB$27,14,FALSE)),0)*P5,0)*AD53*0.5,0),"")</f>
        <v>1063840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71" t="str">
        <f>IFERROR("("&amp;TEXT(G51/H53,"#,##0円")&amp;"/月)","")</f>
        <v>(196,145円/月)</v>
      </c>
      <c r="H52" s="1072"/>
      <c r="I52" s="1072"/>
      <c r="J52" s="1072"/>
      <c r="K52" s="1072"/>
      <c r="L52" s="1072" t="str">
        <f>IFERROR("("&amp;TEXT(L51/H53,"#,##0円")&amp;"/月)","")</f>
        <v>(33,245円/月)</v>
      </c>
      <c r="M52" s="1072"/>
      <c r="N52" s="1072"/>
      <c r="O52" s="1072"/>
      <c r="P52" s="1072"/>
      <c r="Q52" s="1072" t="str">
        <f>IFERROR("("&amp;TEXT(Q51/H53,"#,##0円")&amp;"/月)","")</f>
        <v>(36,569円/月)</v>
      </c>
      <c r="R52" s="1072"/>
      <c r="S52" s="1072"/>
      <c r="T52" s="1072"/>
      <c r="U52" s="1072"/>
      <c r="V52" s="1072" t="str">
        <f>IFERROR("("&amp;TEXT(V51/H53,"#,##0円")&amp;"/月)","")</f>
        <v>(265,959円/月)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6" ht="15.95" customHeight="1">
      <c r="U57" s="1005" t="s">
        <v>2203</v>
      </c>
      <c r="V57" s="1005"/>
      <c r="W57" s="1005"/>
      <c r="X57" s="1005"/>
      <c r="Y57" s="1005"/>
      <c r="Z57" s="527">
        <f>IF(AND(B9&lt;&gt;"処遇加算なし",F15=4),IF(V21="✓",1,IF(V22="✓",2,"")),"")</f>
        <v>1</v>
      </c>
      <c r="AA57" s="245"/>
      <c r="AB57" s="249"/>
      <c r="AC57" s="1005" t="s">
        <v>2203</v>
      </c>
      <c r="AD57" s="1005"/>
      <c r="AE57" s="1005"/>
      <c r="AF57" s="1005"/>
      <c r="AG57" s="1005"/>
      <c r="AH57" s="170">
        <v>0</v>
      </c>
      <c r="AI57" s="253"/>
      <c r="AJ57" s="249"/>
      <c r="AK57" s="1005" t="s">
        <v>2203</v>
      </c>
      <c r="AL57" s="1005"/>
      <c r="AM57" s="1005"/>
      <c r="AN57" s="1005"/>
      <c r="AO57" s="1005"/>
      <c r="AP57" s="170">
        <v>0</v>
      </c>
      <c r="AQ57" s="245"/>
      <c r="AR57" s="245"/>
      <c r="AS57" s="1004"/>
      <c r="AT57" s="1004"/>
      <c r="AU57" s="1004"/>
      <c r="AV57" s="1004"/>
      <c r="AW57" s="1017"/>
      <c r="AX57" s="1017"/>
      <c r="AY57" s="1017"/>
      <c r="AZ57" s="1017"/>
      <c r="BP57" s="251"/>
      <c r="BR57" s="251"/>
      <c r="BS57" s="251"/>
      <c r="BT57" s="251"/>
      <c r="BU57" s="251"/>
      <c r="BV57" s="251"/>
      <c r="BW57" s="251"/>
      <c r="BX57" s="251"/>
      <c r="BY57" s="251"/>
      <c r="BZ57" s="251"/>
      <c r="CA57" s="251"/>
      <c r="CB57" s="251"/>
      <c r="CC57" s="251"/>
      <c r="CD57" s="251"/>
      <c r="CE57" s="251"/>
      <c r="CF57" s="251"/>
      <c r="CH57" s="254"/>
    </row>
    <row r="58" spans="2:86" ht="15.95" customHeight="1">
      <c r="U58" s="1033" t="s">
        <v>2204</v>
      </c>
      <c r="V58" s="1033"/>
      <c r="W58" s="1033"/>
      <c r="X58" s="1033"/>
      <c r="Y58" s="1033"/>
      <c r="Z58" s="527">
        <f>IF(AND(B9&lt;&gt;"処遇加算なし",F15=4),IF(V24="✓",1,IF(V25="✓",2,IF(V26="✓",3,""))),"")</f>
        <v>1</v>
      </c>
      <c r="AA58" s="245"/>
      <c r="AB58" s="249"/>
      <c r="AC58" s="1033" t="s">
        <v>2204</v>
      </c>
      <c r="AD58" s="1033"/>
      <c r="AE58" s="1033"/>
      <c r="AF58" s="1033"/>
      <c r="AG58" s="1033"/>
      <c r="AH58" s="170">
        <v>1</v>
      </c>
      <c r="AI58" s="253"/>
      <c r="AJ58" s="249"/>
      <c r="AK58" s="1033" t="s">
        <v>2204</v>
      </c>
      <c r="AL58" s="1033"/>
      <c r="AM58" s="1033"/>
      <c r="AN58" s="1033"/>
      <c r="AO58" s="1033"/>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33" t="s">
        <v>2205</v>
      </c>
      <c r="V59" s="1033"/>
      <c r="W59" s="1033"/>
      <c r="X59" s="1033"/>
      <c r="Y59" s="1033"/>
      <c r="Z59" s="527">
        <f>IF(AND(B9&lt;&gt;"処遇加算なし",F15=4),IF(V28="✓",1,IF(V29="✓",2,IF(V30="✓",3,""))),"")</f>
        <v>1</v>
      </c>
      <c r="AA59" s="245"/>
      <c r="AB59" s="249"/>
      <c r="AC59" s="1033" t="s">
        <v>2205</v>
      </c>
      <c r="AD59" s="1033"/>
      <c r="AE59" s="1033"/>
      <c r="AF59" s="1033"/>
      <c r="AG59" s="1033"/>
      <c r="AH59" s="170">
        <v>1</v>
      </c>
      <c r="AI59" s="253"/>
      <c r="AJ59" s="249"/>
      <c r="AK59" s="1033" t="s">
        <v>2205</v>
      </c>
      <c r="AL59" s="1033"/>
      <c r="AM59" s="1033"/>
      <c r="AN59" s="1033"/>
      <c r="AO59" s="1033"/>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33" t="s">
        <v>2206</v>
      </c>
      <c r="V60" s="1033"/>
      <c r="W60" s="1033"/>
      <c r="X60" s="1033"/>
      <c r="Y60" s="1033"/>
      <c r="Z60" s="527">
        <f>IF(AND(B9&lt;&gt;"処遇加算なし",F15=4),IF(V32="✓",1,IF(V33="✓",2,"")),"")</f>
        <v>2</v>
      </c>
      <c r="AA60" s="245"/>
      <c r="AB60" s="249"/>
      <c r="AC60" s="1033" t="s">
        <v>2206</v>
      </c>
      <c r="AD60" s="1033"/>
      <c r="AE60" s="1033"/>
      <c r="AF60" s="1033"/>
      <c r="AG60" s="1033"/>
      <c r="AH60" s="170">
        <v>2</v>
      </c>
      <c r="AI60" s="253"/>
      <c r="AJ60" s="249"/>
      <c r="AK60" s="1033" t="s">
        <v>2206</v>
      </c>
      <c r="AL60" s="1033"/>
      <c r="AM60" s="1033"/>
      <c r="AN60" s="1033"/>
      <c r="AO60" s="1033"/>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33" t="s">
        <v>2207</v>
      </c>
      <c r="V61" s="1033"/>
      <c r="W61" s="1033"/>
      <c r="X61" s="1033"/>
      <c r="Y61" s="1033"/>
      <c r="Z61" s="527">
        <f>IF(AND(B9&lt;&gt;"処遇加算なし",F15=4),IF(V36="✓",1,IF(V37="✓",2,"")),"")</f>
        <v>2</v>
      </c>
      <c r="AA61" s="245"/>
      <c r="AB61" s="249"/>
      <c r="AC61" s="1033" t="s">
        <v>2207</v>
      </c>
      <c r="AD61" s="1033"/>
      <c r="AE61" s="1033"/>
      <c r="AF61" s="1033"/>
      <c r="AG61" s="1033"/>
      <c r="AH61" s="170">
        <v>1</v>
      </c>
      <c r="AI61" s="253"/>
      <c r="AJ61" s="249"/>
      <c r="AK61" s="1033" t="s">
        <v>2207</v>
      </c>
      <c r="AL61" s="1033"/>
      <c r="AM61" s="1033"/>
      <c r="AN61" s="1033"/>
      <c r="AO61" s="1033"/>
      <c r="AP61" s="170">
        <v>1</v>
      </c>
      <c r="AQ61" s="245"/>
      <c r="AR61" s="245"/>
      <c r="AS61" s="1005" t="str">
        <f>IF(OR(AND(Z61=1,AH61=2),AND(Z61=1,AP61=2)),"○","")</f>
        <v/>
      </c>
      <c r="AT61" s="1005"/>
      <c r="AU61" s="1005"/>
      <c r="AV61" s="1005"/>
      <c r="AW61" s="1018" t="str">
        <f>IF(OR((AD61-AL61)&lt;0,(AD61-AT61)&lt;0),"!","")</f>
        <v/>
      </c>
      <c r="AX61" s="1018"/>
      <c r="AY61" s="1018"/>
      <c r="AZ61" s="1018"/>
      <c r="BP61" s="251"/>
      <c r="BR61" s="251"/>
      <c r="BS61" s="251"/>
      <c r="BT61" s="251"/>
      <c r="BU61" s="251"/>
      <c r="BV61" s="251"/>
      <c r="BW61" s="251"/>
      <c r="BX61" s="251"/>
      <c r="BY61" s="251"/>
      <c r="BZ61" s="251"/>
      <c r="CA61" s="251"/>
      <c r="CB61" s="251"/>
      <c r="CC61" s="251"/>
      <c r="CD61" s="251"/>
      <c r="CE61" s="251"/>
      <c r="CF61" s="251"/>
      <c r="CH61" s="254"/>
    </row>
    <row r="62" spans="2:86" ht="15.95" customHeight="1">
      <c r="U62" s="1033" t="s">
        <v>2208</v>
      </c>
      <c r="V62" s="1033"/>
      <c r="W62" s="1033"/>
      <c r="X62" s="1033"/>
      <c r="Y62" s="1033"/>
      <c r="Z62" s="527">
        <f>IF(AND(B9&lt;&gt;"処遇加算なし",F15=4),IF(V40="✓",1,IF(V41="✓",2,"")),"")</f>
        <v>2</v>
      </c>
      <c r="AA62" s="245"/>
      <c r="AB62" s="249"/>
      <c r="AC62" s="1033" t="s">
        <v>2208</v>
      </c>
      <c r="AD62" s="1033"/>
      <c r="AE62" s="1033"/>
      <c r="AF62" s="1033"/>
      <c r="AG62" s="1033"/>
      <c r="AH62" s="170">
        <v>2</v>
      </c>
      <c r="AI62" s="253"/>
      <c r="AJ62" s="249"/>
      <c r="AK62" s="1033" t="s">
        <v>2208</v>
      </c>
      <c r="AL62" s="1033"/>
      <c r="AM62" s="1033"/>
      <c r="AN62" s="1033"/>
      <c r="AO62" s="1033"/>
      <c r="AP62" s="170">
        <v>2</v>
      </c>
      <c r="AQ62" s="245"/>
      <c r="AR62" s="245"/>
      <c r="AS62" s="1005" t="str">
        <f>IF(OR(AND(Z62=1,AH62=2),AND(Z62=1,AP62=2)),"○","")</f>
        <v/>
      </c>
      <c r="AT62" s="1005"/>
      <c r="AU62" s="1005"/>
      <c r="AV62" s="1005"/>
      <c r="AW62" s="1018" t="str">
        <f>IF(OR((AD62-AL62)&lt;0,(AD62-AT62)&lt;0),"!","")</f>
        <v/>
      </c>
      <c r="AX62" s="1018"/>
      <c r="AY62" s="1018"/>
      <c r="AZ62" s="1018"/>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527">
        <f>IF(AND(B9&lt;&gt;"処遇加算なし",F15=4),IF(V44="✓",1,IF(V45="✓",2,"")),"")</f>
        <v>2</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8" t="str">
        <f>IF(OR((AD63-AL63)&lt;0,(AD63-AT63)&lt;0),"!","")</f>
        <v/>
      </c>
      <c r="AX63" s="1018"/>
      <c r="AY63" s="1018"/>
      <c r="AZ63" s="1018"/>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QwYunmiExOcMwHFImqe/v6S0R1xyg0XGB8dbdihLaZBgbhs4y2fEK2NPNaxfmZT+wvGu2M8YGPphkhfwFRxnQ==" saltValue="BTuC2VRl8k1P7aa8SLRXN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tabSelected="1"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2432</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千代田区・中央区・港区</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地域密着型通所介護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0">
        <v>1334567892</v>
      </c>
      <c r="C5" s="1080"/>
      <c r="D5" s="1080"/>
      <c r="E5" s="1080"/>
      <c r="F5" s="1080"/>
      <c r="G5" s="1081" t="s">
        <v>2436</v>
      </c>
      <c r="H5" s="1081"/>
      <c r="I5" s="1081"/>
      <c r="J5" s="1082" t="s">
        <v>5</v>
      </c>
      <c r="K5" s="1082"/>
      <c r="L5" s="1082"/>
      <c r="M5" s="1083" t="s">
        <v>6</v>
      </c>
      <c r="N5" s="1083"/>
      <c r="O5" s="1083"/>
      <c r="P5" s="1084">
        <f>IF(Y5="","",IFERROR(INDEX(【参考】数式用3!$G$3:$I$451,MATCH(M5,【参考】数式用3!$F$3:$F$451,0),MATCH(VLOOKUP(Y5,【参考】数式用3!$J$2:$K$26,2,FALSE),【参考】数式用3!$G$2:$I$2,0)),10))</f>
        <v>10.9</v>
      </c>
      <c r="Q5" s="1085"/>
      <c r="R5" s="1085"/>
      <c r="S5" s="1086" t="s">
        <v>2435</v>
      </c>
      <c r="T5" s="1087"/>
      <c r="U5" s="1087"/>
      <c r="V5" s="1087"/>
      <c r="W5" s="1087"/>
      <c r="X5" s="1088"/>
      <c r="Y5" s="1070" t="s">
        <v>284</v>
      </c>
      <c r="Z5" s="1070"/>
      <c r="AA5" s="1070"/>
      <c r="AB5" s="1070"/>
      <c r="AC5" s="1070"/>
      <c r="AD5" s="1070"/>
      <c r="AE5" s="1038">
        <v>325000</v>
      </c>
      <c r="AF5" s="1039"/>
      <c r="AG5" s="1039"/>
      <c r="AH5" s="1040"/>
      <c r="AI5" s="1038">
        <v>0</v>
      </c>
      <c r="AJ5" s="1039"/>
      <c r="AK5" s="1039"/>
      <c r="AL5" s="1040"/>
      <c r="AM5" s="1041">
        <f>AE5-AI5</f>
        <v>325000</v>
      </c>
      <c r="AN5" s="1042"/>
      <c r="AO5" s="1042"/>
      <c r="AP5" s="1043"/>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533">
        <v>10</v>
      </c>
      <c r="G15" s="530" t="s">
        <v>2284</v>
      </c>
      <c r="H15" s="1115" t="s">
        <v>2285</v>
      </c>
      <c r="I15" s="1115"/>
      <c r="J15" s="1128"/>
      <c r="K15" s="147">
        <v>7</v>
      </c>
      <c r="L15" s="530" t="s">
        <v>2283</v>
      </c>
      <c r="M15" s="147">
        <v>3</v>
      </c>
      <c r="N15" s="530" t="s">
        <v>2284</v>
      </c>
      <c r="O15" s="530" t="s">
        <v>2286</v>
      </c>
      <c r="P15" s="204">
        <f>(K15*12+M15)-(D15*12+F15)+1</f>
        <v>6</v>
      </c>
      <c r="Q15" s="1115" t="s">
        <v>2287</v>
      </c>
      <c r="R15" s="1115"/>
      <c r="S15" s="205" t="s">
        <v>74</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
      </c>
      <c r="AD20" s="1078"/>
      <c r="AE20" s="1078"/>
      <c r="AF20" s="1078"/>
      <c r="AG20" s="1078"/>
      <c r="AH20" s="1078"/>
      <c r="AI20" s="191"/>
      <c r="AJ20" s="191"/>
      <c r="AK20" s="1078" t="str">
        <f>IF(OR(F15=4,F15=5),"R6.6","R"&amp;D15&amp;"."&amp;F15)&amp;"～R"&amp;K15&amp;"."&amp;M15</f>
        <v>R6.10～R7.3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17</v>
      </c>
      <c r="X37" s="1013"/>
      <c r="Y37" s="1013"/>
      <c r="Z37" s="1014"/>
      <c r="AA37" s="998"/>
      <c r="AB37" s="999"/>
      <c r="AC37" s="981" t="s">
        <v>2369</v>
      </c>
      <c r="AD37" s="982"/>
      <c r="AE37" s="982"/>
      <c r="AF37" s="982"/>
      <c r="AG37" s="983">
        <v>1</v>
      </c>
      <c r="AH37" s="984"/>
      <c r="AI37" s="998"/>
      <c r="AJ37" s="999"/>
      <c r="AK37" s="981" t="s">
        <v>2369</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サービス提供体制強化加算Ⅰ、Ⅱ、Ⅲイまたはロを算定する。</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17</v>
      </c>
      <c r="X41" s="1013"/>
      <c r="Y41" s="1013"/>
      <c r="Z41" s="1014"/>
      <c r="AA41" s="998"/>
      <c r="AB41" s="999"/>
      <c r="AC41" s="234" t="s">
        <v>90</v>
      </c>
      <c r="AD41" s="1133" t="s">
        <v>2271</v>
      </c>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R6.10～R7.3</v>
      </c>
      <c r="AD48" s="1164"/>
      <c r="AE48" s="1164"/>
      <c r="AF48" s="1164"/>
      <c r="AG48" s="1164"/>
      <c r="AH48" s="1164"/>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新加算Ⅱ</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f>IFERROR(VLOOKUP(Y5,【参考】数式用!$A$5:$AB$27,MATCH(AC49,【参考】数式用!$B$4:$AB$4,0)+1,FALSE),"")</f>
        <v>8.9999999999999983E-2</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f>IFERROR(ROUNDDOWN(ROUND(AM5*AC50,0)*P5,0)*AD53,"")</f>
        <v>1912950</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f>IFERROR(ROUNDDOWN(ROUND(AM5*(AC50-Q10),0)*P5,0)*AD53,"")</f>
        <v>1912950</v>
      </c>
      <c r="BF51" s="1010"/>
      <c r="BG51" s="1010"/>
      <c r="BH51" s="1010"/>
      <c r="BI51" s="1010">
        <f>SUM(AS51:BH51)</f>
        <v>1912950</v>
      </c>
      <c r="BJ51" s="1010"/>
      <c r="BK51" s="1010"/>
      <c r="BL51" s="1010"/>
      <c r="BM51" s="241"/>
      <c r="BN51" s="1010">
        <f>IFERROR(ROUNDDOWN(ROUNDDOWN(ROUND(AM5*(VLOOKUP(Y5,【参考】数式用!$A$5:$AB$27,14,FALSE)),0)*P5,0)*AD53*0.5,0),"")</f>
        <v>680160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
      </c>
      <c r="W52" s="1072"/>
      <c r="X52" s="1072"/>
      <c r="Y52" s="1072"/>
      <c r="Z52" s="1072"/>
      <c r="AB52" s="151"/>
      <c r="AC52" s="1131" t="str">
        <f>IFERROR("("&amp;TEXT(AC51/AD53,"#,##0円")&amp;"/月)","")</f>
        <v>(318,825円/月)</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
      </c>
      <c r="AD56" s="1008"/>
      <c r="AE56" s="1008"/>
      <c r="AF56" s="1008"/>
      <c r="AG56" s="1008"/>
      <c r="AH56" s="1008"/>
      <c r="AI56" s="250"/>
      <c r="AJ56" s="249"/>
      <c r="AK56" s="1008" t="str">
        <f>IF(OR(F15=4,F15=5),"R6.6","R"&amp;D15&amp;"."&amp;F15)&amp;"～R"&amp;K15&amp;"."&amp;M15</f>
        <v>R6.10～R7.3</v>
      </c>
      <c r="AL56" s="1008"/>
      <c r="AM56" s="1008"/>
      <c r="AN56" s="1008"/>
      <c r="AO56" s="1008"/>
      <c r="AP56" s="1008"/>
      <c r="AQ56" s="245"/>
      <c r="AR56" s="245"/>
      <c r="AS56" s="1016" t="s">
        <v>2420</v>
      </c>
      <c r="AT56" s="1016"/>
      <c r="AU56" s="1016"/>
      <c r="AV56" s="1016"/>
      <c r="AW56" s="1016" t="s">
        <v>2419</v>
      </c>
      <c r="AX56" s="1016"/>
      <c r="AY56" s="1016"/>
      <c r="AZ56" s="1016"/>
    </row>
    <row r="57" spans="2:86"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v>1</v>
      </c>
      <c r="AQ57" s="245"/>
      <c r="AR57" s="245"/>
      <c r="AS57" s="1004"/>
      <c r="AT57" s="1004"/>
      <c r="AU57" s="1004"/>
      <c r="AV57" s="1004"/>
      <c r="AW57" s="1017"/>
      <c r="AX57" s="1017"/>
      <c r="AY57" s="1017"/>
      <c r="AZ57" s="1017"/>
      <c r="BP57" s="251"/>
      <c r="BR57" s="251"/>
      <c r="BS57" s="251"/>
      <c r="BT57" s="251"/>
      <c r="BU57" s="251"/>
      <c r="BV57" s="251"/>
      <c r="BW57" s="251"/>
      <c r="BX57" s="251"/>
      <c r="BY57" s="251"/>
      <c r="BZ57" s="251"/>
      <c r="CA57" s="251"/>
      <c r="CB57" s="251"/>
      <c r="CC57" s="251"/>
      <c r="CD57" s="251"/>
      <c r="CE57" s="251"/>
      <c r="CF57" s="251"/>
      <c r="CH57" s="254"/>
    </row>
    <row r="58" spans="2:86" ht="15.95" customHeight="1">
      <c r="U58" s="1033" t="s">
        <v>2204</v>
      </c>
      <c r="V58" s="1033"/>
      <c r="W58" s="1033"/>
      <c r="X58" s="1033"/>
      <c r="Y58" s="1033"/>
      <c r="Z58" s="527" t="str">
        <f>IF(AND(B9&lt;&gt;"処遇加算なし",F15=4),IF(V24="✓",1,IF(V25="✓",2,IF(V26="✓",3,""))),"")</f>
        <v/>
      </c>
      <c r="AA58" s="245"/>
      <c r="AB58" s="249"/>
      <c r="AC58" s="1033" t="s">
        <v>2204</v>
      </c>
      <c r="AD58" s="1033"/>
      <c r="AE58" s="1033"/>
      <c r="AF58" s="1033"/>
      <c r="AG58" s="1033"/>
      <c r="AH58" s="534">
        <f>IF(AND(F15&lt;&gt;4,F15&lt;&gt;5),0,IF(AU8="○",1,3))</f>
        <v>0</v>
      </c>
      <c r="AI58" s="253"/>
      <c r="AJ58" s="249"/>
      <c r="AK58" s="1033" t="s">
        <v>2204</v>
      </c>
      <c r="AL58" s="1033"/>
      <c r="AM58" s="1033"/>
      <c r="AN58" s="1033"/>
      <c r="AO58" s="1033"/>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33" t="s">
        <v>2205</v>
      </c>
      <c r="V59" s="1033"/>
      <c r="W59" s="1033"/>
      <c r="X59" s="1033"/>
      <c r="Y59" s="1033"/>
      <c r="Z59" s="527" t="str">
        <f>IF(AND(B9&lt;&gt;"処遇加算なし",F15=4),IF(V28="✓",1,IF(V29="✓",2,IF(V30="✓",3,""))),"")</f>
        <v/>
      </c>
      <c r="AA59" s="245"/>
      <c r="AB59" s="249"/>
      <c r="AC59" s="1033" t="s">
        <v>2205</v>
      </c>
      <c r="AD59" s="1033"/>
      <c r="AE59" s="1033"/>
      <c r="AF59" s="1033"/>
      <c r="AG59" s="1033"/>
      <c r="AH59" s="534">
        <f>IF(AND(F15&lt;&gt;4,F15&lt;&gt;5),0,IF(AV8="○",1,3))</f>
        <v>0</v>
      </c>
      <c r="AI59" s="253"/>
      <c r="AJ59" s="249"/>
      <c r="AK59" s="1033" t="s">
        <v>2205</v>
      </c>
      <c r="AL59" s="1033"/>
      <c r="AM59" s="1033"/>
      <c r="AN59" s="1033"/>
      <c r="AO59" s="1033"/>
      <c r="AP59" s="170">
        <v>2</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33" t="s">
        <v>2206</v>
      </c>
      <c r="V60" s="1033"/>
      <c r="W60" s="1033"/>
      <c r="X60" s="1033"/>
      <c r="Y60" s="1033"/>
      <c r="Z60" s="527" t="str">
        <f>IF(AND(B9&lt;&gt;"処遇加算なし",F15=4),IF(V32="✓",1,IF(V33="✓",2,"")),"")</f>
        <v/>
      </c>
      <c r="AA60" s="245"/>
      <c r="AB60" s="249"/>
      <c r="AC60" s="1033" t="s">
        <v>2206</v>
      </c>
      <c r="AD60" s="1033"/>
      <c r="AE60" s="1033"/>
      <c r="AF60" s="1033"/>
      <c r="AG60" s="1033"/>
      <c r="AH60" s="534">
        <f>IF(AND(F15&lt;&gt;4,F15&lt;&gt;5),0,IF(AW8="○",1,3))</f>
        <v>0</v>
      </c>
      <c r="AI60" s="253"/>
      <c r="AJ60" s="249"/>
      <c r="AK60" s="1033" t="s">
        <v>2206</v>
      </c>
      <c r="AL60" s="1033"/>
      <c r="AM60" s="1033"/>
      <c r="AN60" s="1033"/>
      <c r="AO60" s="1033"/>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33" t="s">
        <v>2207</v>
      </c>
      <c r="V61" s="1033"/>
      <c r="W61" s="1033"/>
      <c r="X61" s="1033"/>
      <c r="Y61" s="1033"/>
      <c r="Z61" s="527" t="str">
        <f>IF(AND(B9&lt;&gt;"処遇加算なし",F15=4),IF(V36="✓",1,IF(V37="✓",2,"")),"")</f>
        <v/>
      </c>
      <c r="AA61" s="245"/>
      <c r="AB61" s="249"/>
      <c r="AC61" s="1033" t="s">
        <v>2207</v>
      </c>
      <c r="AD61" s="1033"/>
      <c r="AE61" s="1033"/>
      <c r="AF61" s="1033"/>
      <c r="AG61" s="1033"/>
      <c r="AH61" s="534">
        <f>IF(AND(F15&lt;&gt;4,F15&lt;&gt;5),0,IF(AX8="○",1,2))</f>
        <v>0</v>
      </c>
      <c r="AI61" s="253"/>
      <c r="AJ61" s="249"/>
      <c r="AK61" s="1033" t="s">
        <v>2207</v>
      </c>
      <c r="AL61" s="1033"/>
      <c r="AM61" s="1033"/>
      <c r="AN61" s="1033"/>
      <c r="AO61" s="1033"/>
      <c r="AP61" s="170">
        <v>1</v>
      </c>
      <c r="AQ61" s="245"/>
      <c r="AR61" s="245"/>
      <c r="AS61" s="1005" t="str">
        <f>IF(OR(AND(Z61=1,AH61=2),AND(Z61=1,AP61=2)),"○","")</f>
        <v/>
      </c>
      <c r="AT61" s="1005"/>
      <c r="AU61" s="1005"/>
      <c r="AV61" s="1005"/>
      <c r="AW61" s="1018" t="str">
        <f>IF(OR((AD61-AL61)&lt;0,(AD61-AT61)&lt;0),"!","")</f>
        <v/>
      </c>
      <c r="AX61" s="1018"/>
      <c r="AY61" s="1018"/>
      <c r="AZ61" s="1018"/>
      <c r="BP61" s="251"/>
      <c r="BR61" s="251"/>
      <c r="BS61" s="251"/>
      <c r="BT61" s="251"/>
      <c r="BU61" s="251"/>
      <c r="BV61" s="251"/>
      <c r="BW61" s="251"/>
      <c r="BX61" s="251"/>
      <c r="BY61" s="251"/>
      <c r="BZ61" s="251"/>
      <c r="CA61" s="251"/>
      <c r="CB61" s="251"/>
      <c r="CC61" s="251"/>
      <c r="CD61" s="251"/>
      <c r="CE61" s="251"/>
      <c r="CF61" s="251"/>
      <c r="CH61" s="254"/>
    </row>
    <row r="62" spans="2:86" ht="15.95" customHeight="1">
      <c r="U62" s="1033" t="s">
        <v>2208</v>
      </c>
      <c r="V62" s="1033"/>
      <c r="W62" s="1033"/>
      <c r="X62" s="1033"/>
      <c r="Y62" s="1033"/>
      <c r="Z62" s="527" t="str">
        <f>IF(AND(B9&lt;&gt;"処遇加算なし",F15=4),IF(V40="✓",1,IF(V41="✓",2,"")),"")</f>
        <v/>
      </c>
      <c r="AA62" s="245"/>
      <c r="AB62" s="249"/>
      <c r="AC62" s="1033" t="s">
        <v>2208</v>
      </c>
      <c r="AD62" s="1033"/>
      <c r="AE62" s="1033"/>
      <c r="AF62" s="1033"/>
      <c r="AG62" s="1033"/>
      <c r="AH62" s="534">
        <f>IF(AND(F15&lt;&gt;4,F15&lt;&gt;5),0,IF(AY8="○",1,2))</f>
        <v>0</v>
      </c>
      <c r="AI62" s="253"/>
      <c r="AJ62" s="249"/>
      <c r="AK62" s="1033" t="s">
        <v>2208</v>
      </c>
      <c r="AL62" s="1033"/>
      <c r="AM62" s="1033"/>
      <c r="AN62" s="1033"/>
      <c r="AO62" s="1033"/>
      <c r="AP62" s="170">
        <v>2</v>
      </c>
      <c r="AQ62" s="245"/>
      <c r="AR62" s="245"/>
      <c r="AS62" s="1005" t="str">
        <f>IF(OR(AND(Z62=1,AH62=2),AND(Z62=1,AP62=2)),"○","")</f>
        <v/>
      </c>
      <c r="AT62" s="1005"/>
      <c r="AU62" s="1005"/>
      <c r="AV62" s="1005"/>
      <c r="AW62" s="1018" t="str">
        <f>IF(OR((AD62-AL62)&lt;0,(AD62-AT62)&lt;0),"!","")</f>
        <v/>
      </c>
      <c r="AX62" s="1018"/>
      <c r="AY62" s="1018"/>
      <c r="AZ62" s="1018"/>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534">
        <f>IF(AND(F15&lt;&gt;4,F15&lt;&gt;5),0,IF(AZ8="○",1,2))</f>
        <v>0</v>
      </c>
      <c r="AI63" s="253"/>
      <c r="AJ63" s="249"/>
      <c r="AK63" s="1005" t="s">
        <v>2209</v>
      </c>
      <c r="AL63" s="1005"/>
      <c r="AM63" s="1005"/>
      <c r="AN63" s="1005"/>
      <c r="AO63" s="1005"/>
      <c r="AP63" s="170">
        <v>1</v>
      </c>
      <c r="AQ63" s="245"/>
      <c r="AR63" s="245"/>
      <c r="AS63" s="1005" t="str">
        <f>IF(OR(AND(Z63=1,AH63=2),AND(Z63=1,AP63=2)),"○","")</f>
        <v/>
      </c>
      <c r="AT63" s="1005"/>
      <c r="AU63" s="1005"/>
      <c r="AV63" s="1005"/>
      <c r="AW63" s="1018" t="str">
        <f>IF(OR((AD63-AL63)&lt;0,(AD63-AT63)&lt;0),"!","")</f>
        <v/>
      </c>
      <c r="AX63" s="1018"/>
      <c r="AY63" s="1018"/>
      <c r="AZ63" s="1018"/>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MxAWukBxdF2g0FBO+exZCLV/E0xuspw69rXKgGWaU76h9hQxv9gf5mfW12/8ujdCpWVxWHfiqbRpCJPaXMTRg==" saltValue="ipsrHSYgiLD2Zya38I8jN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topLeftCell="A19"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2424</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中央区</v>
      </c>
      <c r="AJ1" s="1177"/>
      <c r="AK1" s="1177"/>
      <c r="AL1" s="1177"/>
      <c r="AM1" s="1177"/>
      <c r="AN1" s="1177"/>
      <c r="AO1" s="1177"/>
      <c r="AP1" s="1177"/>
      <c r="AS1" s="1001" t="str">
        <f>B9&amp;G9&amp;L9</f>
        <v>処遇加算Ⅲ特定加算なしベア加算なし</v>
      </c>
      <c r="AT1" s="1002"/>
      <c r="AU1" s="1002"/>
      <c r="AV1" s="1002"/>
      <c r="AW1" s="1002"/>
      <c r="AX1" s="1002"/>
      <c r="AY1" s="1002"/>
      <c r="AZ1" s="1002"/>
      <c r="BA1" s="1002"/>
      <c r="BB1" s="1002"/>
      <c r="BC1" s="1002"/>
      <c r="BD1" s="1002"/>
      <c r="BE1" s="1003"/>
      <c r="BF1" s="1000" t="str">
        <f>IFERROR(VLOOKUP(Y5,【参考】数式用!$AJ$2:$AK$24,2,FALSE),"")</f>
        <v>介護予防_小規模多機能型居宅介護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0">
        <v>1334567893</v>
      </c>
      <c r="C5" s="1080"/>
      <c r="D5" s="1080"/>
      <c r="E5" s="1080"/>
      <c r="F5" s="1080"/>
      <c r="G5" s="1081" t="s">
        <v>2433</v>
      </c>
      <c r="H5" s="1081"/>
      <c r="I5" s="1081"/>
      <c r="J5" s="1082" t="s">
        <v>5</v>
      </c>
      <c r="K5" s="1082"/>
      <c r="L5" s="1082"/>
      <c r="M5" s="1083" t="s">
        <v>1320</v>
      </c>
      <c r="N5" s="1083"/>
      <c r="O5" s="1083"/>
      <c r="P5" s="1084">
        <f>IF(Y5="","",IFERROR(INDEX(【参考】数式用3!$G$3:$I$451,MATCH(M5,【参考】数式用3!$F$3:$F$451,0),MATCH(VLOOKUP(Y5,【参考】数式用3!$J$2:$K$26,2,FALSE),【参考】数式用3!$G$2:$I$2,0)),10))</f>
        <v>11.1</v>
      </c>
      <c r="Q5" s="1085"/>
      <c r="R5" s="1085"/>
      <c r="S5" s="1086" t="s">
        <v>2434</v>
      </c>
      <c r="T5" s="1087"/>
      <c r="U5" s="1087"/>
      <c r="V5" s="1087"/>
      <c r="W5" s="1087"/>
      <c r="X5" s="1088"/>
      <c r="Y5" s="1070" t="s">
        <v>292</v>
      </c>
      <c r="Z5" s="1070"/>
      <c r="AA5" s="1070"/>
      <c r="AB5" s="1070"/>
      <c r="AC5" s="1070"/>
      <c r="AD5" s="1070"/>
      <c r="AE5" s="1038">
        <v>425000</v>
      </c>
      <c r="AF5" s="1039"/>
      <c r="AG5" s="1039"/>
      <c r="AH5" s="1040"/>
      <c r="AI5" s="1038">
        <v>80000</v>
      </c>
      <c r="AJ5" s="1039"/>
      <c r="AK5" s="1039"/>
      <c r="AL5" s="1040"/>
      <c r="AM5" s="1041">
        <f>AE5-AI5</f>
        <v>345000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新加算Ⅳ</v>
      </c>
      <c r="W8" s="1052"/>
      <c r="X8" s="1052"/>
      <c r="Y8" s="1052"/>
      <c r="Z8" s="1053"/>
      <c r="AA8" s="1034"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t="s">
        <v>268</v>
      </c>
      <c r="C9" s="1095"/>
      <c r="D9" s="1095"/>
      <c r="E9" s="1095"/>
      <c r="F9" s="1096"/>
      <c r="G9" s="1097" t="s">
        <v>13</v>
      </c>
      <c r="H9" s="1098"/>
      <c r="I9" s="1098"/>
      <c r="J9" s="1098"/>
      <c r="K9" s="1099"/>
      <c r="L9" s="1100" t="s">
        <v>11</v>
      </c>
      <c r="M9" s="1101"/>
      <c r="N9" s="1101"/>
      <c r="O9" s="1101"/>
      <c r="P9" s="1102"/>
      <c r="Q9" s="1089" t="s">
        <v>2200</v>
      </c>
      <c r="R9" s="1090"/>
      <c r="S9" s="1090"/>
      <c r="T9" s="998"/>
      <c r="U9" s="999"/>
      <c r="V9" s="1054">
        <f>IFERROR(VLOOKUP(Y5,【参考】数式用!$A$5:$AB$27,MATCH(V8,【参考】数式用!$B$4:$AB$4,0)+1,FALSE),"")</f>
        <v>0.106</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f>IFERROR(VLOOKUP(Y5,【参考】数式用!$A$5:$J$27,MATCH(B9,【参考】数式用!$B$4:$J$4,0)+1,0),"")</f>
        <v>4.1000000000000002E-2</v>
      </c>
      <c r="C10" s="1106"/>
      <c r="D10" s="1106"/>
      <c r="E10" s="1106"/>
      <c r="F10" s="1107"/>
      <c r="G10" s="1105">
        <f>IFERROR(VLOOKUP(Y5,【参考】数式用!$A$5:$J$27,MATCH(G9,【参考】数式用!$B$4:$J$4,0)+1,0),"")</f>
        <v>0</v>
      </c>
      <c r="H10" s="1106"/>
      <c r="I10" s="1106"/>
      <c r="J10" s="1106"/>
      <c r="K10" s="1107"/>
      <c r="L10" s="1105">
        <f>IFERROR(VLOOKUP(Y5,【参考】数式用!$A$5:$J$27,MATCH(L9,【参考】数式用!$B$4:$J$4,0)+1,0),"")</f>
        <v>0</v>
      </c>
      <c r="M10" s="1106"/>
      <c r="N10" s="1106"/>
      <c r="O10" s="1106"/>
      <c r="P10" s="1107"/>
      <c r="Q10" s="1111">
        <f>SUM(B10,G10,L10)</f>
        <v>4.1000000000000002E-2</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新加算Ⅴ(11)</v>
      </c>
      <c r="W11" s="1060"/>
      <c r="X11" s="1060"/>
      <c r="Y11" s="1060"/>
      <c r="Z11" s="1060"/>
      <c r="AA11" s="1034"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79"/>
      <c r="D12" s="1079"/>
      <c r="E12" s="1079"/>
      <c r="F12" s="1079"/>
      <c r="G12" s="1079"/>
      <c r="H12" s="1079"/>
      <c r="I12" s="1079"/>
      <c r="J12" s="1079"/>
      <c r="K12" s="1079"/>
      <c r="L12" s="1079"/>
      <c r="M12" s="1079"/>
      <c r="N12" s="1079"/>
      <c r="O12" s="1079"/>
      <c r="P12" s="1079"/>
      <c r="Q12" s="1079"/>
      <c r="R12" s="1079"/>
      <c r="S12" s="1079"/>
      <c r="T12" s="1068"/>
      <c r="U12" s="999"/>
      <c r="V12" s="1059">
        <f>IFERROR(VLOOKUP(Y5,【参考】数式用!$A$5:$AB$27,MATCH(V11,【参考】数式用!$B$4:$AB$4,0)+1,FALSE),"")</f>
        <v>8.8999999999999996E-2</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新加算Ⅴ(14)</v>
      </c>
      <c r="W14" s="1060"/>
      <c r="X14" s="1060"/>
      <c r="Y14" s="1060"/>
      <c r="Z14" s="1060"/>
      <c r="AA14" s="1044"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f>IFERROR(VLOOKUP(Y5,【参考】数式用!$A$5:$AB$27,MATCH(V14,【参考】数式用!$B$4:$AB$4,0)+1,FALSE),"")</f>
        <v>5.6000000000000001E-2</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サービス提供体制強化加算ⅠまたはⅡを算定する。</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処遇加算Ⅱ</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ベア加算</v>
      </c>
      <c r="BB48" s="1007"/>
      <c r="BC48" s="1007"/>
      <c r="BD48" s="1007"/>
      <c r="BE48" s="1008" t="str">
        <f>AS48&amp;AW48&amp;BA48</f>
        <v>処遇加算Ⅱ特定加算なしベア加算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処遇加算Ⅱ</v>
      </c>
      <c r="H49" s="1139"/>
      <c r="I49" s="1139"/>
      <c r="J49" s="1139"/>
      <c r="K49" s="1165"/>
      <c r="L49" s="1138" t="str">
        <f>IFERROR(IF(G9="","",IF(AND(OR(AH61=1,AH61=2),AH62=1,AH63=1),"特定加算Ⅰ",IF(AND(OR(AH61=1,AH61=2),AH62=2,AH63=1),"特定加算Ⅱ",IF(OR(AH61=3,AH62=2,AH63=2),"特定加算なし","")))),"")</f>
        <v>特定加算なし</v>
      </c>
      <c r="M49" s="1139"/>
      <c r="N49" s="1139"/>
      <c r="O49" s="1139"/>
      <c r="P49" s="1140"/>
      <c r="Q49" s="1141" t="str">
        <f>IFERROR(IF(OR(L9="ベア加算",AND(L9="ベア加算なし",AH57=1)),"ベア加算",IF(AH57=2,"ベア加算なし","")),"")</f>
        <v>ベア加算</v>
      </c>
      <c r="R49" s="1139"/>
      <c r="S49" s="1139"/>
      <c r="T49" s="1139"/>
      <c r="U49" s="1140"/>
      <c r="V49" s="1142" t="s">
        <v>12</v>
      </c>
      <c r="W49" s="1143"/>
      <c r="X49" s="1143"/>
      <c r="Y49" s="1143"/>
      <c r="Z49" s="1143"/>
      <c r="AA49" s="1068"/>
      <c r="AB49" s="1068"/>
      <c r="AC49" s="1153" t="str">
        <f>IFERROR(VLOOKUP(BE48,【参考】数式用2!E6:F23,2,FALSE),"")</f>
        <v>新加算Ⅳ</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6">
        <f>IFERROR(VLOOKUP(Y5,【参考】数式用!$A$5:$J$27,MATCH(G49,【参考】数式用!$B$4:$J$4,0)+1,0),"")</f>
        <v>7.3999999999999996E-2</v>
      </c>
      <c r="H50" s="1157"/>
      <c r="I50" s="1157"/>
      <c r="J50" s="1157"/>
      <c r="K50" s="1158"/>
      <c r="L50" s="1156">
        <f>IFERROR(VLOOKUP(Y5,【参考】数式用!$A$5:$J$27,MATCH(L49,【参考】数式用!$B$4:$J$4,0)+1,0),"")</f>
        <v>0</v>
      </c>
      <c r="M50" s="1157"/>
      <c r="N50" s="1157"/>
      <c r="O50" s="1157"/>
      <c r="P50" s="1159"/>
      <c r="Q50" s="1160">
        <f>IFERROR(VLOOKUP(Y5,【参考】数式用!$A$5:$J$27,MATCH(Q49,【参考】数式用!$B$4:$J$4,0)+1,0),"")</f>
        <v>1.7000000000000001E-2</v>
      </c>
      <c r="R50" s="1157"/>
      <c r="S50" s="1157"/>
      <c r="T50" s="1157"/>
      <c r="U50" s="1159"/>
      <c r="V50" s="1111">
        <f>SUM(G50,L50,Q50)</f>
        <v>9.0999999999999998E-2</v>
      </c>
      <c r="W50" s="1112"/>
      <c r="X50" s="1112"/>
      <c r="Y50" s="1112"/>
      <c r="Z50" s="1112"/>
      <c r="AA50" s="1068"/>
      <c r="AB50" s="1068"/>
      <c r="AC50" s="1161">
        <f>IFERROR(VLOOKUP(Y5,【参考】数式用!$A$5:$AB$27,MATCH(AC49,【参考】数式用!$B$4:$AB$4,0)+1,FALSE),"")</f>
        <v>0.106</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130">
        <f>IFERROR(ROUNDDOWN(ROUND(AM5*G50,0)*P5,0)*H53,"")</f>
        <v>566766</v>
      </c>
      <c r="H51" s="1130"/>
      <c r="I51" s="1130"/>
      <c r="J51" s="1130"/>
      <c r="K51" s="148" t="s">
        <v>2289</v>
      </c>
      <c r="L51" s="1129">
        <f>IFERROR(ROUNDDOWN(ROUND(AM5*L50,0)*P5,0)*H53,"")</f>
        <v>0</v>
      </c>
      <c r="M51" s="1130"/>
      <c r="N51" s="1130"/>
      <c r="O51" s="1130"/>
      <c r="P51" s="148" t="s">
        <v>2289</v>
      </c>
      <c r="Q51" s="1129">
        <f>IFERROR(ROUNDDOWN(ROUND(AM5*Q50,0)*P5,0)*H53,"")</f>
        <v>130202</v>
      </c>
      <c r="R51" s="1130"/>
      <c r="S51" s="1130"/>
      <c r="T51" s="1130"/>
      <c r="U51" s="149" t="s">
        <v>2289</v>
      </c>
      <c r="V51" s="1136">
        <f>IFERROR(SUM(G51,L51,Q51),"")</f>
        <v>696968</v>
      </c>
      <c r="W51" s="1137"/>
      <c r="X51" s="1137"/>
      <c r="Y51" s="1137"/>
      <c r="Z51" s="150" t="s">
        <v>2289</v>
      </c>
      <c r="AB51" s="151"/>
      <c r="AC51" s="1129">
        <f>IFERROR(ROUNDDOWN(ROUND(AM5*AC50,0)*P5,0)*AD53,"")</f>
        <v>4059270</v>
      </c>
      <c r="AD51" s="1130"/>
      <c r="AE51" s="1130"/>
      <c r="AF51" s="1130"/>
      <c r="AG51" s="1130"/>
      <c r="AH51" s="149" t="s">
        <v>2289</v>
      </c>
      <c r="AS51" s="1010">
        <f>IFERROR(ROUNDDOWN(ROUND(AM5*(G50-B10),0)*P5,0)*H53,"")</f>
        <v>252746</v>
      </c>
      <c r="AT51" s="1010"/>
      <c r="AU51" s="1010"/>
      <c r="AV51" s="1010"/>
      <c r="AW51" s="1010">
        <f>IFERROR(ROUNDDOWN(ROUND(AM5*(L50-G10),0)*P5,0)*H53,"")</f>
        <v>0</v>
      </c>
      <c r="AX51" s="1010"/>
      <c r="AY51" s="1010"/>
      <c r="AZ51" s="1010"/>
      <c r="BA51" s="1010">
        <f>IFERROR(ROUNDDOWN(ROUND(AM5*(Q50-L10),0)*P5,0)*H53,"")</f>
        <v>130202</v>
      </c>
      <c r="BB51" s="1010"/>
      <c r="BC51" s="1010"/>
      <c r="BD51" s="1010"/>
      <c r="BE51" s="1010">
        <f>IFERROR(ROUNDDOWN(ROUND(AM5*(AC50-Q10),0)*P5,0)*AD53,"")</f>
        <v>2489170</v>
      </c>
      <c r="BF51" s="1010"/>
      <c r="BG51" s="1010"/>
      <c r="BH51" s="1010"/>
      <c r="BI51" s="1010">
        <f>SUM(AS51:BH51)</f>
        <v>2872118</v>
      </c>
      <c r="BJ51" s="1010"/>
      <c r="BK51" s="1010"/>
      <c r="BL51" s="1010"/>
      <c r="BM51" s="241"/>
      <c r="BN51" s="1010">
        <f>IFERROR(ROUNDDOWN(ROUNDDOWN(ROUND(AM5*(VLOOKUP(Y5,【参考】数式用!$A$5:$AB$27,14,FALSE)),0)*P5,0)*AD53*0.5,0),"")</f>
        <v>2029635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71" t="str">
        <f>IFERROR("("&amp;TEXT(G51/H53,"#,##0円")&amp;"/月)","")</f>
        <v>(283,383円/月)</v>
      </c>
      <c r="H52" s="1072"/>
      <c r="I52" s="1072"/>
      <c r="J52" s="1072"/>
      <c r="K52" s="1072"/>
      <c r="L52" s="1072" t="str">
        <f>IFERROR("("&amp;TEXT(L51/H53,"#,##0円")&amp;"/月)","")</f>
        <v>(0円/月)</v>
      </c>
      <c r="M52" s="1072"/>
      <c r="N52" s="1072"/>
      <c r="O52" s="1072"/>
      <c r="P52" s="1072"/>
      <c r="Q52" s="1072" t="str">
        <f>IFERROR("("&amp;TEXT(Q51/H53,"#,##0円")&amp;"/月)","")</f>
        <v>(65,101円/月)</v>
      </c>
      <c r="R52" s="1072"/>
      <c r="S52" s="1072"/>
      <c r="T52" s="1072"/>
      <c r="U52" s="1072"/>
      <c r="V52" s="1072" t="str">
        <f>IFERROR("("&amp;TEXT(V51/H53,"#,##0円")&amp;"/月)","")</f>
        <v>(348,484円/月)</v>
      </c>
      <c r="W52" s="1072"/>
      <c r="X52" s="1072"/>
      <c r="Y52" s="1072"/>
      <c r="Z52" s="1072"/>
      <c r="AB52" s="151"/>
      <c r="AC52" s="1131" t="str">
        <f>IFERROR("("&amp;TEXT(AC51/AD53,"#,##0円")&amp;"/月)","")</f>
        <v>(405,927円/月)</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4" ht="15.95" customHeight="1">
      <c r="U57" s="1005" t="s">
        <v>2203</v>
      </c>
      <c r="V57" s="1005"/>
      <c r="W57" s="1005"/>
      <c r="X57" s="1005"/>
      <c r="Y57" s="1005"/>
      <c r="Z57" s="527">
        <f>IF(AND(B9&lt;&gt;"処遇加算なし",F15=4),IF(V21="✓",1,IF(V22="✓",2,"")),"")</f>
        <v>2</v>
      </c>
      <c r="AA57" s="245"/>
      <c r="AB57" s="249"/>
      <c r="AC57" s="1005" t="s">
        <v>2203</v>
      </c>
      <c r="AD57" s="1005"/>
      <c r="AE57" s="1005"/>
      <c r="AF57" s="1005"/>
      <c r="AG57" s="1005"/>
      <c r="AH57" s="170">
        <f>IF(AND(F15&lt;&gt;4,F15&lt;&gt;5),0,IF(AT8="○",1,0))</f>
        <v>1</v>
      </c>
      <c r="AI57" s="253"/>
      <c r="AJ57" s="249"/>
      <c r="AK57" s="1005" t="s">
        <v>2203</v>
      </c>
      <c r="AL57" s="1005"/>
      <c r="AM57" s="1005"/>
      <c r="AN57" s="1005"/>
      <c r="AO57" s="1005"/>
      <c r="AP57" s="170">
        <f>IF(AT8="○",1,0)</f>
        <v>1</v>
      </c>
      <c r="AQ57" s="245"/>
      <c r="AR57" s="245"/>
      <c r="AS57" s="1004"/>
      <c r="AT57" s="1004"/>
      <c r="AU57" s="1004"/>
      <c r="AV57" s="1004"/>
      <c r="AW57" s="1017"/>
      <c r="AX57" s="1017"/>
      <c r="AY57" s="1017"/>
      <c r="AZ57" s="1017"/>
      <c r="BJ57" s="251"/>
      <c r="BL57" s="251"/>
      <c r="BM57" s="251"/>
      <c r="BN57" s="251"/>
      <c r="BO57" s="251"/>
      <c r="BP57" s="251"/>
      <c r="BQ57" s="251"/>
      <c r="BR57" s="251"/>
      <c r="BS57" s="251"/>
      <c r="BT57" s="251"/>
      <c r="BU57" s="251"/>
      <c r="BV57" s="251"/>
      <c r="BW57" s="251"/>
      <c r="BX57" s="251"/>
      <c r="BY57" s="251"/>
      <c r="BZ57" s="251"/>
      <c r="CB57" s="254"/>
    </row>
    <row r="58" spans="2:84" ht="15.95" customHeight="1">
      <c r="U58" s="1033" t="s">
        <v>2204</v>
      </c>
      <c r="V58" s="1033"/>
      <c r="W58" s="1033"/>
      <c r="X58" s="1033"/>
      <c r="Y58" s="1033"/>
      <c r="Z58" s="527">
        <f>IF(AND(B9&lt;&gt;"処遇加算なし",F15=4),IF(V24="✓",1,IF(V25="✓",2,IF(V26="✓",3,""))),"")</f>
        <v>2</v>
      </c>
      <c r="AA58" s="245"/>
      <c r="AB58" s="249"/>
      <c r="AC58" s="1033" t="s">
        <v>2204</v>
      </c>
      <c r="AD58" s="1033"/>
      <c r="AE58" s="1033"/>
      <c r="AF58" s="1033"/>
      <c r="AG58" s="1033"/>
      <c r="AH58" s="170">
        <v>2</v>
      </c>
      <c r="AI58" s="253"/>
      <c r="AJ58" s="249"/>
      <c r="AK58" s="1033" t="s">
        <v>2204</v>
      </c>
      <c r="AL58" s="1033"/>
      <c r="AM58" s="1033"/>
      <c r="AN58" s="1033"/>
      <c r="AO58" s="1033"/>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33" t="s">
        <v>2205</v>
      </c>
      <c r="V59" s="1033"/>
      <c r="W59" s="1033"/>
      <c r="X59" s="1033"/>
      <c r="Y59" s="1033"/>
      <c r="Z59" s="527">
        <f>IF(AND(B9&lt;&gt;"処遇加算なし",F15=4),IF(V28="✓",1,IF(V29="✓",2,IF(V30="✓",3,""))),"")</f>
        <v>2</v>
      </c>
      <c r="AA59" s="245"/>
      <c r="AB59" s="249"/>
      <c r="AC59" s="1033" t="s">
        <v>2205</v>
      </c>
      <c r="AD59" s="1033"/>
      <c r="AE59" s="1033"/>
      <c r="AF59" s="1033"/>
      <c r="AG59" s="1033"/>
      <c r="AH59" s="170">
        <v>1</v>
      </c>
      <c r="AI59" s="253"/>
      <c r="AJ59" s="249"/>
      <c r="AK59" s="1033" t="s">
        <v>2205</v>
      </c>
      <c r="AL59" s="1033"/>
      <c r="AM59" s="1033"/>
      <c r="AN59" s="1033"/>
      <c r="AO59" s="1033"/>
      <c r="AP59" s="170">
        <f>IF(AV8="○",1,3)</f>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33" t="s">
        <v>2206</v>
      </c>
      <c r="V60" s="1033"/>
      <c r="W60" s="1033"/>
      <c r="X60" s="1033"/>
      <c r="Y60" s="1033"/>
      <c r="Z60" s="527">
        <f>IF(AND(B9&lt;&gt;"処遇加算なし",F15=4),IF(V32="✓",1,IF(V33="✓",2,"")),"")</f>
        <v>2</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33" t="s">
        <v>2207</v>
      </c>
      <c r="V61" s="1033"/>
      <c r="W61" s="1033"/>
      <c r="X61" s="1033"/>
      <c r="Y61" s="1033"/>
      <c r="Z61" s="527">
        <f>IF(AND(B9&lt;&gt;"処遇加算なし",F15=4),IF(V36="✓",1,IF(V37="✓",2,"")),"")</f>
        <v>2</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J61" s="251"/>
      <c r="BL61" s="251"/>
      <c r="BM61" s="251"/>
      <c r="BN61" s="251"/>
      <c r="BO61" s="251"/>
      <c r="BP61" s="251"/>
      <c r="BQ61" s="251"/>
      <c r="BR61" s="251"/>
      <c r="BS61" s="251"/>
      <c r="BT61" s="251"/>
      <c r="BU61" s="251"/>
      <c r="BV61" s="251"/>
      <c r="BW61" s="251"/>
      <c r="BX61" s="251"/>
      <c r="BY61" s="251"/>
      <c r="BZ61" s="251"/>
      <c r="CB61" s="254"/>
    </row>
    <row r="62" spans="2:84" ht="15.95" customHeight="1">
      <c r="U62" s="1033" t="s">
        <v>2208</v>
      </c>
      <c r="V62" s="1033"/>
      <c r="W62" s="1033"/>
      <c r="X62" s="1033"/>
      <c r="Y62" s="1033"/>
      <c r="Z62" s="527">
        <f>IF(AND(B9&lt;&gt;"処遇加算なし",F15=4),IF(V40="✓",1,IF(V41="✓",2,"")),"")</f>
        <v>2</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2209</v>
      </c>
      <c r="V63" s="1005"/>
      <c r="W63" s="1005"/>
      <c r="X63" s="1005"/>
      <c r="Y63" s="1005"/>
      <c r="Z63" s="527">
        <f>IF(AND(B9&lt;&gt;"処遇加算なし",F15=4),IF(V44="✓",1,IF(V45="✓",2,"")),"")</f>
        <v>2</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9AvFL6jFYV+Bt3P4Ed7Ul/eHdJx5EEEiCHw2qWqZS9Th13rseNVt17Z/Jgl/GOBXwrHZA5qzJ8lftOxpcTvqA==" saltValue="abaIJiBflxdBXyara7+u+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topLeftCell="A43"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2425</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t="str">
        <f>IFERROR(ROUNDDOWN(ROUND(AM5*AC50,0)*P5,0)*AD53,"")</f>
        <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4"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7"/>
      <c r="AX57" s="1017"/>
      <c r="AY57" s="1017"/>
      <c r="AZ57" s="1017"/>
      <c r="BH57" s="251"/>
      <c r="BJ57" s="251"/>
      <c r="BK57" s="251"/>
      <c r="BL57" s="251"/>
      <c r="BM57" s="251"/>
      <c r="BN57" s="251"/>
      <c r="BO57" s="251"/>
      <c r="BP57" s="251"/>
      <c r="BQ57" s="251"/>
      <c r="BR57" s="251"/>
      <c r="BS57" s="251"/>
      <c r="BT57" s="251"/>
      <c r="BU57" s="251"/>
      <c r="BV57" s="251"/>
      <c r="BW57" s="251"/>
      <c r="BX57" s="251"/>
      <c r="BZ57" s="254"/>
    </row>
    <row r="58" spans="2:84" ht="15.95" customHeight="1">
      <c r="U58" s="1033" t="s">
        <v>2204</v>
      </c>
      <c r="V58" s="1033"/>
      <c r="W58" s="1033"/>
      <c r="X58" s="1033"/>
      <c r="Y58" s="1033"/>
      <c r="Z58" s="527" t="str">
        <f>IF(AND(B9&lt;&gt;"処遇加算なし",F15=4),IF(V24="✓",1,IF(V25="✓",2,IF(V26="✓",3,""))),"")</f>
        <v/>
      </c>
      <c r="AA58" s="245"/>
      <c r="AB58" s="249"/>
      <c r="AC58" s="1033" t="s">
        <v>2204</v>
      </c>
      <c r="AD58" s="1033"/>
      <c r="AE58" s="1033"/>
      <c r="AF58" s="1033"/>
      <c r="AG58" s="1033"/>
      <c r="AH58" s="170">
        <f>IF(AND(F15&lt;&gt;4,F15&lt;&gt;5),0,IF(AU8="○",1,3))</f>
        <v>3</v>
      </c>
      <c r="AI58" s="253"/>
      <c r="AJ58" s="249"/>
      <c r="AK58" s="1033" t="s">
        <v>2204</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33" t="s">
        <v>2205</v>
      </c>
      <c r="V59" s="1033"/>
      <c r="W59" s="1033"/>
      <c r="X59" s="1033"/>
      <c r="Y59" s="1033"/>
      <c r="Z59" s="527" t="str">
        <f>IF(AND(B9&lt;&gt;"処遇加算なし",F15=4),IF(V28="✓",1,IF(V29="✓",2,IF(V30="✓",3,""))),"")</f>
        <v/>
      </c>
      <c r="AA59" s="245"/>
      <c r="AB59" s="249"/>
      <c r="AC59" s="1033" t="s">
        <v>2205</v>
      </c>
      <c r="AD59" s="1033"/>
      <c r="AE59" s="1033"/>
      <c r="AF59" s="1033"/>
      <c r="AG59" s="1033"/>
      <c r="AH59" s="170">
        <f>IF(AND(F15&lt;&gt;4,F15&lt;&gt;5),0,IF(AV8="○",1,3))</f>
        <v>3</v>
      </c>
      <c r="AI59" s="253"/>
      <c r="AJ59" s="249"/>
      <c r="AK59" s="1033" t="s">
        <v>2205</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33" t="s">
        <v>2206</v>
      </c>
      <c r="V60" s="1033"/>
      <c r="W60" s="1033"/>
      <c r="X60" s="1033"/>
      <c r="Y60" s="1033"/>
      <c r="Z60" s="527" t="str">
        <f>IF(AND(B9&lt;&gt;"処遇加算なし",F15=4),IF(V32="✓",1,IF(V33="✓",2,"")),"")</f>
        <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33" t="s">
        <v>2207</v>
      </c>
      <c r="V61" s="1033"/>
      <c r="W61" s="1033"/>
      <c r="X61" s="1033"/>
      <c r="Y61" s="1033"/>
      <c r="Z61" s="527" t="str">
        <f>IF(AND(B9&lt;&gt;"処遇加算なし",F15=4),IF(V36="✓",1,IF(V37="✓",2,"")),"")</f>
        <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H61" s="251"/>
      <c r="BJ61" s="251"/>
      <c r="BK61" s="251"/>
      <c r="BL61" s="251"/>
      <c r="BM61" s="251"/>
      <c r="BN61" s="251"/>
      <c r="BO61" s="251"/>
      <c r="BP61" s="251"/>
      <c r="BQ61" s="251"/>
      <c r="BR61" s="251"/>
      <c r="BS61" s="251"/>
      <c r="BT61" s="251"/>
      <c r="BU61" s="251"/>
      <c r="BV61" s="251"/>
      <c r="BW61" s="251"/>
      <c r="BX61" s="251"/>
      <c r="BZ61" s="254"/>
    </row>
    <row r="62" spans="2:84" ht="15.95" customHeight="1">
      <c r="U62" s="1033" t="s">
        <v>2208</v>
      </c>
      <c r="V62" s="1033"/>
      <c r="W62" s="1033"/>
      <c r="X62" s="1033"/>
      <c r="Y62" s="1033"/>
      <c r="Z62" s="527" t="str">
        <f>IF(AND(B9&lt;&gt;"処遇加算なし",F15=4),IF(V40="✓",1,IF(V41="✓",2,"")),"")</f>
        <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H5Rs3YnRJJeMhTLnq1VfVHS5iteNmDRfr+P5GctmbETdpvebcrlRlZHEYsEs9QWXpA1iJ+P7e21KIPGzJEL9Mg==" saltValue="eTXEBPiBOfKpqqe7iN1Vb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topLeftCell="A37"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2426</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t="str">
        <f>IFERROR(ROUNDDOWN(ROUND(AM5*AC50,0)*P5,0)*AD53,"")</f>
        <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4"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7"/>
      <c r="AX57" s="1017"/>
      <c r="AY57" s="1017"/>
      <c r="AZ57" s="1017"/>
      <c r="BJ57" s="251"/>
      <c r="BL57" s="251"/>
      <c r="BM57" s="251"/>
      <c r="BN57" s="251"/>
      <c r="BO57" s="251"/>
      <c r="BP57" s="251"/>
      <c r="BQ57" s="251"/>
      <c r="BR57" s="251"/>
      <c r="BS57" s="251"/>
      <c r="BT57" s="251"/>
      <c r="BU57" s="251"/>
      <c r="BV57" s="251"/>
      <c r="BW57" s="251"/>
      <c r="BX57" s="251"/>
      <c r="BY57" s="251"/>
      <c r="BZ57" s="251"/>
      <c r="CB57" s="254"/>
    </row>
    <row r="58" spans="2:84" ht="15.95" customHeight="1">
      <c r="U58" s="1033" t="s">
        <v>2204</v>
      </c>
      <c r="V58" s="1033"/>
      <c r="W58" s="1033"/>
      <c r="X58" s="1033"/>
      <c r="Y58" s="1033"/>
      <c r="Z58" s="527" t="str">
        <f>IF(AND(B9&lt;&gt;"処遇加算なし",F15=4),IF(V24="✓",1,IF(V25="✓",2,IF(V26="✓",3,""))),"")</f>
        <v/>
      </c>
      <c r="AA58" s="245"/>
      <c r="AB58" s="249"/>
      <c r="AC58" s="1033" t="s">
        <v>2204</v>
      </c>
      <c r="AD58" s="1033"/>
      <c r="AE58" s="1033"/>
      <c r="AF58" s="1033"/>
      <c r="AG58" s="1033"/>
      <c r="AH58" s="170">
        <f>IF(AND(F15&lt;&gt;4,F15&lt;&gt;5),0,IF(AU8="○",1,3))</f>
        <v>3</v>
      </c>
      <c r="AI58" s="253"/>
      <c r="AJ58" s="249"/>
      <c r="AK58" s="1033" t="s">
        <v>2204</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33" t="s">
        <v>2205</v>
      </c>
      <c r="V59" s="1033"/>
      <c r="W59" s="1033"/>
      <c r="X59" s="1033"/>
      <c r="Y59" s="1033"/>
      <c r="Z59" s="527" t="str">
        <f>IF(AND(B9&lt;&gt;"処遇加算なし",F15=4),IF(V28="✓",1,IF(V29="✓",2,IF(V30="✓",3,""))),"")</f>
        <v/>
      </c>
      <c r="AA59" s="245"/>
      <c r="AB59" s="249"/>
      <c r="AC59" s="1033" t="s">
        <v>2205</v>
      </c>
      <c r="AD59" s="1033"/>
      <c r="AE59" s="1033"/>
      <c r="AF59" s="1033"/>
      <c r="AG59" s="1033"/>
      <c r="AH59" s="170">
        <f>IF(AND(F15&lt;&gt;4,F15&lt;&gt;5),0,IF(AV8="○",1,3))</f>
        <v>3</v>
      </c>
      <c r="AI59" s="253"/>
      <c r="AJ59" s="249"/>
      <c r="AK59" s="1033" t="s">
        <v>2205</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33" t="s">
        <v>2206</v>
      </c>
      <c r="V60" s="1033"/>
      <c r="W60" s="1033"/>
      <c r="X60" s="1033"/>
      <c r="Y60" s="1033"/>
      <c r="Z60" s="527" t="str">
        <f>IF(AND(B9&lt;&gt;"処遇加算なし",F15=4),IF(V32="✓",1,IF(V33="✓",2,"")),"")</f>
        <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33" t="s">
        <v>2207</v>
      </c>
      <c r="V61" s="1033"/>
      <c r="W61" s="1033"/>
      <c r="X61" s="1033"/>
      <c r="Y61" s="1033"/>
      <c r="Z61" s="527" t="str">
        <f>IF(AND(B9&lt;&gt;"処遇加算なし",F15=4),IF(V36="✓",1,IF(V37="✓",2,"")),"")</f>
        <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J61" s="251"/>
      <c r="BL61" s="251"/>
      <c r="BM61" s="251"/>
      <c r="BN61" s="251"/>
      <c r="BO61" s="251"/>
      <c r="BP61" s="251"/>
      <c r="BQ61" s="251"/>
      <c r="BR61" s="251"/>
      <c r="BS61" s="251"/>
      <c r="BT61" s="251"/>
      <c r="BU61" s="251"/>
      <c r="BV61" s="251"/>
      <c r="BW61" s="251"/>
      <c r="BX61" s="251"/>
      <c r="BY61" s="251"/>
      <c r="BZ61" s="251"/>
      <c r="CB61" s="254"/>
    </row>
    <row r="62" spans="2:84" ht="15.95" customHeight="1">
      <c r="U62" s="1033" t="s">
        <v>2208</v>
      </c>
      <c r="V62" s="1033"/>
      <c r="W62" s="1033"/>
      <c r="X62" s="1033"/>
      <c r="Y62" s="1033"/>
      <c r="Z62" s="527" t="str">
        <f>IF(AND(B9&lt;&gt;"処遇加算なし",F15=4),IF(V40="✓",1,IF(V41="✓",2,"")),"")</f>
        <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VU8ww32kkuje1O6J60HA9nPlYbNIQJRJIqBdzP9JHu62LCVT6dqsd+ynnsh0+Suf2Hd9/1wyOCeByoRUQj4gNQ==" saltValue="pFiJOlFInHGFoYspY0x0S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topLeftCell="A37"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2427</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t="str">
        <f>IFERROR(ROUNDDOWN(ROUND(AM5*AC50,0)*P5,0)*AD53,"")</f>
        <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7"/>
      <c r="AX57" s="1017"/>
      <c r="AY57" s="1017"/>
      <c r="AZ57" s="1017"/>
      <c r="BL57" s="251"/>
      <c r="BN57" s="251"/>
      <c r="BO57" s="251"/>
      <c r="BP57" s="251"/>
      <c r="BQ57" s="251"/>
      <c r="BR57" s="251"/>
      <c r="BS57" s="251"/>
      <c r="BT57" s="251"/>
      <c r="BU57" s="251"/>
      <c r="BV57" s="251"/>
      <c r="BW57" s="251"/>
      <c r="BX57" s="251"/>
      <c r="BY57" s="251"/>
      <c r="BZ57" s="251"/>
      <c r="CA57" s="251"/>
      <c r="CB57" s="251"/>
      <c r="CD57" s="254"/>
    </row>
    <row r="58" spans="2:82" ht="15.95" customHeight="1">
      <c r="U58" s="1033" t="s">
        <v>2204</v>
      </c>
      <c r="V58" s="1033"/>
      <c r="W58" s="1033"/>
      <c r="X58" s="1033"/>
      <c r="Y58" s="1033"/>
      <c r="Z58" s="527" t="str">
        <f>IF(AND(B9&lt;&gt;"処遇加算なし",F15=4),IF(V24="✓",1,IF(V25="✓",2,IF(V26="✓",3,""))),"")</f>
        <v/>
      </c>
      <c r="AA58" s="245"/>
      <c r="AB58" s="249"/>
      <c r="AC58" s="1033" t="s">
        <v>2204</v>
      </c>
      <c r="AD58" s="1033"/>
      <c r="AE58" s="1033"/>
      <c r="AF58" s="1033"/>
      <c r="AG58" s="1033"/>
      <c r="AH58" s="170">
        <f>IF(AND(F15&lt;&gt;4,F15&lt;&gt;5),0,IF(AU8="○",1,3))</f>
        <v>3</v>
      </c>
      <c r="AI58" s="253"/>
      <c r="AJ58" s="249"/>
      <c r="AK58" s="1033" t="s">
        <v>2204</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33" t="s">
        <v>2205</v>
      </c>
      <c r="V59" s="1033"/>
      <c r="W59" s="1033"/>
      <c r="X59" s="1033"/>
      <c r="Y59" s="1033"/>
      <c r="Z59" s="527" t="str">
        <f>IF(AND(B9&lt;&gt;"処遇加算なし",F15=4),IF(V28="✓",1,IF(V29="✓",2,IF(V30="✓",3,""))),"")</f>
        <v/>
      </c>
      <c r="AA59" s="245"/>
      <c r="AB59" s="249"/>
      <c r="AC59" s="1033" t="s">
        <v>2205</v>
      </c>
      <c r="AD59" s="1033"/>
      <c r="AE59" s="1033"/>
      <c r="AF59" s="1033"/>
      <c r="AG59" s="1033"/>
      <c r="AH59" s="170">
        <f>IF(AND(F15&lt;&gt;4,F15&lt;&gt;5),0,IF(AV8="○",1,3))</f>
        <v>3</v>
      </c>
      <c r="AI59" s="253"/>
      <c r="AJ59" s="249"/>
      <c r="AK59" s="1033" t="s">
        <v>2205</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33" t="s">
        <v>2206</v>
      </c>
      <c r="V60" s="1033"/>
      <c r="W60" s="1033"/>
      <c r="X60" s="1033"/>
      <c r="Y60" s="1033"/>
      <c r="Z60" s="527" t="str">
        <f>IF(AND(B9&lt;&gt;"処遇加算なし",F15=4),IF(V32="✓",1,IF(V33="✓",2,"")),"")</f>
        <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33" t="s">
        <v>2207</v>
      </c>
      <c r="V61" s="1033"/>
      <c r="W61" s="1033"/>
      <c r="X61" s="1033"/>
      <c r="Y61" s="1033"/>
      <c r="Z61" s="527" t="str">
        <f>IF(AND(B9&lt;&gt;"処遇加算なし",F15=4),IF(V36="✓",1,IF(V37="✓",2,"")),"")</f>
        <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L61" s="251"/>
      <c r="BN61" s="251"/>
      <c r="BO61" s="251"/>
      <c r="BP61" s="251"/>
      <c r="BQ61" s="251"/>
      <c r="BR61" s="251"/>
      <c r="BS61" s="251"/>
      <c r="BT61" s="251"/>
      <c r="BU61" s="251"/>
      <c r="BV61" s="251"/>
      <c r="BW61" s="251"/>
      <c r="BX61" s="251"/>
      <c r="BY61" s="251"/>
      <c r="BZ61" s="251"/>
      <c r="CA61" s="251"/>
      <c r="CB61" s="251"/>
      <c r="CD61" s="254"/>
    </row>
    <row r="62" spans="2:82" ht="15.95" customHeight="1">
      <c r="U62" s="1033" t="s">
        <v>2208</v>
      </c>
      <c r="V62" s="1033"/>
      <c r="W62" s="1033"/>
      <c r="X62" s="1033"/>
      <c r="Y62" s="1033"/>
      <c r="Z62" s="527" t="str">
        <f>IF(AND(B9&lt;&gt;"処遇加算なし",F15=4),IF(V40="✓",1,IF(V41="✓",2,"")),"")</f>
        <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6UWEdWbDoULMdJ+h2nVWqt1SiyIic0hdqIx/asV7hCKDoOXgmrk1FatswUuwBu4PxbFK37ZljqER2HivkB5sQ==" saltValue="kBxrrDiSq9wDk7BimqomL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2428</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t="str">
        <f>IFERROR(ROUNDDOWN(ROUND(AM5*AC50,0)*P5,0)*AD53,"")</f>
        <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7"/>
      <c r="AX57" s="1017"/>
      <c r="AY57" s="1017"/>
      <c r="AZ57" s="1017"/>
      <c r="BD57" s="251"/>
      <c r="BF57" s="251"/>
      <c r="BG57" s="251"/>
      <c r="BH57" s="251"/>
      <c r="BI57" s="251"/>
      <c r="BJ57" s="251"/>
      <c r="BK57" s="251"/>
      <c r="BL57" s="251"/>
      <c r="BM57" s="251"/>
      <c r="BN57" s="251"/>
      <c r="BO57" s="251"/>
      <c r="BP57" s="251"/>
      <c r="BQ57" s="251"/>
      <c r="BR57" s="251"/>
      <c r="BS57" s="251"/>
      <c r="BT57" s="251"/>
      <c r="BV57" s="254"/>
    </row>
    <row r="58" spans="2:82" ht="15.95" customHeight="1">
      <c r="U58" s="1033" t="s">
        <v>2204</v>
      </c>
      <c r="V58" s="1033"/>
      <c r="W58" s="1033"/>
      <c r="X58" s="1033"/>
      <c r="Y58" s="1033"/>
      <c r="Z58" s="527" t="str">
        <f>IF(AND(B9&lt;&gt;"処遇加算なし",F15=4),IF(V24="✓",1,IF(V25="✓",2,IF(V26="✓",3,""))),"")</f>
        <v/>
      </c>
      <c r="AA58" s="245"/>
      <c r="AB58" s="249"/>
      <c r="AC58" s="1033" t="s">
        <v>2204</v>
      </c>
      <c r="AD58" s="1033"/>
      <c r="AE58" s="1033"/>
      <c r="AF58" s="1033"/>
      <c r="AG58" s="1033"/>
      <c r="AH58" s="170">
        <f>IF(AND(F15&lt;&gt;4,F15&lt;&gt;5),0,IF(AU8="○",1,3))</f>
        <v>3</v>
      </c>
      <c r="AI58" s="253"/>
      <c r="AJ58" s="249"/>
      <c r="AK58" s="1033" t="s">
        <v>2204</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33" t="s">
        <v>2205</v>
      </c>
      <c r="V59" s="1033"/>
      <c r="W59" s="1033"/>
      <c r="X59" s="1033"/>
      <c r="Y59" s="1033"/>
      <c r="Z59" s="527" t="str">
        <f>IF(AND(B9&lt;&gt;"処遇加算なし",F15=4),IF(V28="✓",1,IF(V29="✓",2,IF(V30="✓",3,""))),"")</f>
        <v/>
      </c>
      <c r="AA59" s="245"/>
      <c r="AB59" s="249"/>
      <c r="AC59" s="1033" t="s">
        <v>2205</v>
      </c>
      <c r="AD59" s="1033"/>
      <c r="AE59" s="1033"/>
      <c r="AF59" s="1033"/>
      <c r="AG59" s="1033"/>
      <c r="AH59" s="170">
        <f>IF(AND(F15&lt;&gt;4,F15&lt;&gt;5),0,IF(AV8="○",1,3))</f>
        <v>3</v>
      </c>
      <c r="AI59" s="253"/>
      <c r="AJ59" s="249"/>
      <c r="AK59" s="1033" t="s">
        <v>2205</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33" t="s">
        <v>2206</v>
      </c>
      <c r="V60" s="1033"/>
      <c r="W60" s="1033"/>
      <c r="X60" s="1033"/>
      <c r="Y60" s="1033"/>
      <c r="Z60" s="527" t="str">
        <f>IF(AND(B9&lt;&gt;"処遇加算なし",F15=4),IF(V32="✓",1,IF(V33="✓",2,"")),"")</f>
        <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33" t="s">
        <v>2207</v>
      </c>
      <c r="V61" s="1033"/>
      <c r="W61" s="1033"/>
      <c r="X61" s="1033"/>
      <c r="Y61" s="1033"/>
      <c r="Z61" s="527" t="str">
        <f>IF(AND(B9&lt;&gt;"処遇加算なし",F15=4),IF(V36="✓",1,IF(V37="✓",2,"")),"")</f>
        <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D61" s="251"/>
      <c r="BF61" s="251"/>
      <c r="BG61" s="251"/>
      <c r="BH61" s="251"/>
      <c r="BI61" s="251"/>
      <c r="BJ61" s="251"/>
      <c r="BK61" s="251"/>
      <c r="BL61" s="251"/>
      <c r="BM61" s="251"/>
      <c r="BN61" s="251"/>
      <c r="BO61" s="251"/>
      <c r="BP61" s="251"/>
      <c r="BQ61" s="251"/>
      <c r="BR61" s="251"/>
      <c r="BS61" s="251"/>
      <c r="BT61" s="251"/>
      <c r="BV61" s="254"/>
    </row>
    <row r="62" spans="2:82" ht="15.95" customHeight="1">
      <c r="U62" s="1033" t="s">
        <v>2208</v>
      </c>
      <c r="V62" s="1033"/>
      <c r="W62" s="1033"/>
      <c r="X62" s="1033"/>
      <c r="Y62" s="1033"/>
      <c r="Z62" s="527" t="str">
        <f>IF(AND(B9&lt;&gt;"処遇加算なし",F15=4),IF(V40="✓",1,IF(V41="✓",2,"")),"")</f>
        <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JzEZvH05uaUma/bUXQsGQUjbwAHnHHejIeGOpT0WeoEexP5/VDGl45AoeKZN+qJ8QDSYpbp2ncv1GFYrW95D3w==" saltValue="cCeP2dwjjro6XAvtD8qptA=="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user01</cp:lastModifiedBy>
  <cp:lastPrinted>2024-03-18T10:10:31Z</cp:lastPrinted>
  <dcterms:modified xsi:type="dcterms:W3CDTF">2024-03-18T10:10:42Z</dcterms:modified>
</cp:coreProperties>
</file>